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G:\Meu Drive\COMERCIAL\VIPPIM VIGILÂNCIA\PREGÕES\2024\BRIGADA\MJ\DILIGÊNCIAS\Diligência 12.08.2024\PLANILHAS OUTROS CONTRATOS\"/>
    </mc:Choice>
  </mc:AlternateContent>
  <xr:revisionPtr revIDLastSave="0" documentId="13_ncr:1_{9ED63B76-3150-4A22-9386-8614F9DBA19A}" xr6:coauthVersionLast="47" xr6:coauthVersionMax="47" xr10:uidLastSave="{00000000-0000-0000-0000-000000000000}"/>
  <bookViews>
    <workbookView xWindow="-120" yWindow="-120" windowWidth="20730" windowHeight="11160" tabRatio="886" activeTab="2" xr2:uid="{02FF8747-162F-46C9-BBA9-9EC44F099109}"/>
  </bookViews>
  <sheets>
    <sheet name="Totalização" sheetId="45" r:id="rId1"/>
    <sheet name="Diurno Des" sheetId="71" r:id="rId2"/>
    <sheet name="Diurno Arm" sheetId="73" r:id="rId3"/>
    <sheet name="Not Des" sheetId="75" r:id="rId4"/>
    <sheet name="Not Arm" sheetId="77" r:id="rId5"/>
    <sheet name="Diurno 44h" sheetId="79" r:id="rId6"/>
    <sheet name="Encar Diurno" sheetId="81" r:id="rId7"/>
    <sheet name="Encar Not" sheetId="83" r:id="rId8"/>
    <sheet name="Uniforme" sheetId="68" r:id="rId9"/>
    <sheet name="Materiais" sheetId="69" r:id="rId10"/>
    <sheet name="Equipamento" sheetId="70" r:id="rId11"/>
    <sheet name="Retroativo" sheetId="67" r:id="rId12"/>
  </sheets>
  <definedNames>
    <definedName name="_xlnm.Print_Area" localSheetId="5">'Diurno 44h'!$B$2:$N$132</definedName>
    <definedName name="_xlnm.Print_Area" localSheetId="2">'Diurno Arm'!$B$2:$N$132</definedName>
    <definedName name="_xlnm.Print_Area" localSheetId="1">'Diurno Des'!$B$2:$N$132</definedName>
    <definedName name="_xlnm.Print_Area" localSheetId="6">'Encar Diurno'!$B$2:$N$132</definedName>
    <definedName name="_xlnm.Print_Area" localSheetId="7">'Encar Not'!$A$1:$N$132</definedName>
    <definedName name="_xlnm.Print_Area" localSheetId="10">Equipamento!$A$1:$I$7</definedName>
    <definedName name="_xlnm.Print_Area" localSheetId="9">Materiais!$A$4:$H$36</definedName>
    <definedName name="_xlnm.Print_Area" localSheetId="4">'Not Arm'!$B$2:$N$132</definedName>
    <definedName name="_xlnm.Print_Area" localSheetId="3">'Not Des'!$B$2:$N$132</definedName>
    <definedName name="_xlnm.Print_Area" localSheetId="11">Retroativo!$E$1:$L$37</definedName>
    <definedName name="_xlnm.Print_Area" localSheetId="0">Totalização!$B$2:$G$58</definedName>
  </definedNames>
  <calcPr calcId="191029" iterate="1"/>
  <customWorkbookViews>
    <customWorkbookView name="Armando - Modo de exibição pessoal" guid="{5A6232F6-6386-4F6F-A316-0280B3A7E545}" mergeInterval="0" personalView="1" maximized="1" windowWidth="796" windowHeight="463" tabRatio="601" activeSheetId="13"/>
  </customWorkbookViews>
</workbook>
</file>

<file path=xl/calcChain.xml><?xml version="1.0" encoding="utf-8"?>
<calcChain xmlns="http://schemas.openxmlformats.org/spreadsheetml/2006/main">
  <c r="C19" i="45" l="1"/>
  <c r="C18" i="45"/>
  <c r="C17" i="45"/>
  <c r="C16" i="45"/>
  <c r="C15" i="45"/>
  <c r="C14" i="45"/>
  <c r="G44" i="45"/>
  <c r="C50" i="45"/>
  <c r="N60" i="83"/>
  <c r="N60" i="81"/>
  <c r="N37" i="83"/>
  <c r="K117" i="83"/>
  <c r="L109" i="83"/>
  <c r="L108" i="83"/>
  <c r="L107" i="83"/>
  <c r="L111" i="83" s="1"/>
  <c r="L129" i="83" s="1"/>
  <c r="K90" i="83"/>
  <c r="K89" i="83"/>
  <c r="K88" i="83"/>
  <c r="K87" i="83"/>
  <c r="K86" i="83"/>
  <c r="K78" i="83"/>
  <c r="K77" i="83"/>
  <c r="K76" i="83"/>
  <c r="K75" i="83"/>
  <c r="L62" i="83"/>
  <c r="K62" i="83"/>
  <c r="L61" i="83"/>
  <c r="L60" i="83"/>
  <c r="L64" i="83" s="1"/>
  <c r="L70" i="83" s="1"/>
  <c r="K50" i="83"/>
  <c r="K56" i="83" s="1"/>
  <c r="K43" i="83"/>
  <c r="K42" i="83"/>
  <c r="L31" i="83"/>
  <c r="L33" i="83" s="1"/>
  <c r="K117" i="81"/>
  <c r="L109" i="81"/>
  <c r="L111" i="81" s="1"/>
  <c r="L129" i="81" s="1"/>
  <c r="L108" i="81"/>
  <c r="L107" i="81"/>
  <c r="K90" i="81"/>
  <c r="K89" i="81"/>
  <c r="K88" i="81"/>
  <c r="K87" i="81"/>
  <c r="K86" i="81"/>
  <c r="K79" i="81"/>
  <c r="K78" i="81"/>
  <c r="K80" i="81" s="1"/>
  <c r="K77" i="81"/>
  <c r="K75" i="81"/>
  <c r="K76" i="81" s="1"/>
  <c r="K62" i="81"/>
  <c r="L62" i="81" s="1"/>
  <c r="L61" i="81"/>
  <c r="K56" i="81"/>
  <c r="K50" i="81"/>
  <c r="K43" i="81"/>
  <c r="K42" i="81"/>
  <c r="K44" i="81" s="1"/>
  <c r="L31" i="81"/>
  <c r="L37" i="81" s="1"/>
  <c r="L60" i="81"/>
  <c r="K117" i="79"/>
  <c r="L109" i="79"/>
  <c r="L108" i="79"/>
  <c r="L107" i="79"/>
  <c r="L111" i="79" s="1"/>
  <c r="L129" i="79" s="1"/>
  <c r="K90" i="79"/>
  <c r="K89" i="79"/>
  <c r="K88" i="79"/>
  <c r="K87" i="79"/>
  <c r="K86" i="79"/>
  <c r="K78" i="79"/>
  <c r="K80" i="79" s="1"/>
  <c r="K77" i="79"/>
  <c r="K76" i="79"/>
  <c r="K75" i="79"/>
  <c r="L62" i="79"/>
  <c r="K62" i="79"/>
  <c r="L61" i="79"/>
  <c r="K50" i="79"/>
  <c r="K56" i="79" s="1"/>
  <c r="K43" i="79"/>
  <c r="K42" i="79"/>
  <c r="K44" i="79" s="1"/>
  <c r="N132" i="77"/>
  <c r="K117" i="77"/>
  <c r="L111" i="77"/>
  <c r="L129" i="77" s="1"/>
  <c r="L109" i="77"/>
  <c r="L108" i="77"/>
  <c r="L107" i="77"/>
  <c r="K90" i="77"/>
  <c r="K89" i="77"/>
  <c r="K88" i="77"/>
  <c r="K87" i="77"/>
  <c r="K86" i="77"/>
  <c r="K78" i="77"/>
  <c r="K79" i="77" s="1"/>
  <c r="K77" i="77"/>
  <c r="K76" i="77"/>
  <c r="K75" i="77"/>
  <c r="K62" i="77"/>
  <c r="L62" i="77" s="1"/>
  <c r="L61" i="77"/>
  <c r="K56" i="77"/>
  <c r="K50" i="77"/>
  <c r="K43" i="77"/>
  <c r="K42" i="77"/>
  <c r="K44" i="77" s="1"/>
  <c r="K117" i="75"/>
  <c r="L109" i="75"/>
  <c r="L108" i="75"/>
  <c r="L107" i="75"/>
  <c r="L111" i="75" s="1"/>
  <c r="L129" i="75" s="1"/>
  <c r="K90" i="75"/>
  <c r="K89" i="75"/>
  <c r="K88" i="75"/>
  <c r="K87" i="75"/>
  <c r="K86" i="75"/>
  <c r="K78" i="75"/>
  <c r="K79" i="75" s="1"/>
  <c r="K77" i="75"/>
  <c r="K76" i="75"/>
  <c r="K75" i="75"/>
  <c r="L62" i="75"/>
  <c r="K62" i="75"/>
  <c r="L61" i="75"/>
  <c r="K50" i="75"/>
  <c r="K56" i="75" s="1"/>
  <c r="K43" i="75"/>
  <c r="K42" i="75"/>
  <c r="L31" i="75"/>
  <c r="K117" i="73"/>
  <c r="L109" i="73"/>
  <c r="L108" i="73"/>
  <c r="L107" i="73"/>
  <c r="L111" i="73" s="1"/>
  <c r="L129" i="73" s="1"/>
  <c r="K90" i="73"/>
  <c r="K89" i="73"/>
  <c r="K88" i="73"/>
  <c r="K87" i="73"/>
  <c r="K86" i="73"/>
  <c r="K78" i="73"/>
  <c r="K79" i="73" s="1"/>
  <c r="K77" i="73"/>
  <c r="K75" i="73"/>
  <c r="K76" i="73" s="1"/>
  <c r="K62" i="73"/>
  <c r="L62" i="73" s="1"/>
  <c r="L61" i="73"/>
  <c r="K56" i="73"/>
  <c r="K50" i="73"/>
  <c r="K43" i="73"/>
  <c r="K42" i="73"/>
  <c r="L31" i="73"/>
  <c r="L37" i="73" s="1"/>
  <c r="L96" i="73" s="1"/>
  <c r="L97" i="73" s="1"/>
  <c r="L102" i="73" s="1"/>
  <c r="L60" i="73"/>
  <c r="L64" i="73" s="1"/>
  <c r="L70" i="73" s="1"/>
  <c r="N30" i="71"/>
  <c r="K79" i="83" l="1"/>
  <c r="K80" i="83"/>
  <c r="L34" i="83"/>
  <c r="L37" i="83" s="1"/>
  <c r="K44" i="83"/>
  <c r="L91" i="81"/>
  <c r="L80" i="81"/>
  <c r="L78" i="81"/>
  <c r="L76" i="81"/>
  <c r="L42" i="81"/>
  <c r="L89" i="81"/>
  <c r="L125" i="81"/>
  <c r="L90" i="81"/>
  <c r="L88" i="81"/>
  <c r="L86" i="81"/>
  <c r="L96" i="81"/>
  <c r="L97" i="81" s="1"/>
  <c r="L102" i="81" s="1"/>
  <c r="L79" i="81"/>
  <c r="L77" i="81"/>
  <c r="L75" i="81"/>
  <c r="L87" i="81"/>
  <c r="L43" i="81"/>
  <c r="L64" i="81"/>
  <c r="L70" i="81" s="1"/>
  <c r="K79" i="79"/>
  <c r="L60" i="79"/>
  <c r="L64" i="79" s="1"/>
  <c r="L70" i="79" s="1"/>
  <c r="L31" i="79"/>
  <c r="L37" i="79" s="1"/>
  <c r="L60" i="77"/>
  <c r="L64" i="77" s="1"/>
  <c r="L70" i="77" s="1"/>
  <c r="L31" i="77"/>
  <c r="L34" i="77" s="1"/>
  <c r="K80" i="77"/>
  <c r="L33" i="77"/>
  <c r="L37" i="77" s="1"/>
  <c r="K44" i="75"/>
  <c r="K80" i="75"/>
  <c r="L33" i="75"/>
  <c r="L37" i="75" s="1"/>
  <c r="L60" i="75"/>
  <c r="L64" i="75" s="1"/>
  <c r="L70" i="75" s="1"/>
  <c r="L34" i="75"/>
  <c r="L42" i="73"/>
  <c r="K44" i="73"/>
  <c r="K80" i="73"/>
  <c r="L86" i="73"/>
  <c r="L88" i="73"/>
  <c r="L90" i="73"/>
  <c r="L125" i="73"/>
  <c r="L76" i="73"/>
  <c r="L78" i="73"/>
  <c r="L80" i="73"/>
  <c r="L91" i="73"/>
  <c r="L87" i="73"/>
  <c r="L89" i="73"/>
  <c r="L43" i="73"/>
  <c r="L44" i="73" s="1"/>
  <c r="L75" i="73"/>
  <c r="L77" i="73"/>
  <c r="L79" i="73"/>
  <c r="L96" i="83" l="1"/>
  <c r="L97" i="83" s="1"/>
  <c r="L102" i="83" s="1"/>
  <c r="L79" i="83"/>
  <c r="L77" i="83"/>
  <c r="L75" i="83"/>
  <c r="L43" i="83"/>
  <c r="L91" i="83"/>
  <c r="L78" i="83"/>
  <c r="L125" i="83"/>
  <c r="L90" i="83"/>
  <c r="L88" i="83"/>
  <c r="L86" i="83"/>
  <c r="L89" i="83"/>
  <c r="L87" i="83"/>
  <c r="L80" i="83"/>
  <c r="L76" i="83"/>
  <c r="L42" i="83"/>
  <c r="L44" i="83" s="1"/>
  <c r="L68" i="83" s="1"/>
  <c r="L81" i="81"/>
  <c r="L127" i="81" s="1"/>
  <c r="L92" i="81"/>
  <c r="L101" i="81" s="1"/>
  <c r="L103" i="81" s="1"/>
  <c r="L128" i="81" s="1"/>
  <c r="L44" i="81"/>
  <c r="L96" i="79"/>
  <c r="L97" i="79" s="1"/>
  <c r="L102" i="79" s="1"/>
  <c r="L79" i="79"/>
  <c r="L77" i="79"/>
  <c r="L75" i="79"/>
  <c r="L76" i="79"/>
  <c r="L89" i="79"/>
  <c r="L87" i="79"/>
  <c r="L125" i="79"/>
  <c r="L90" i="79"/>
  <c r="L88" i="79"/>
  <c r="L86" i="79"/>
  <c r="L91" i="79"/>
  <c r="L80" i="79"/>
  <c r="L78" i="79"/>
  <c r="L43" i="79"/>
  <c r="L42" i="79"/>
  <c r="L44" i="79" s="1"/>
  <c r="L68" i="79" s="1"/>
  <c r="L89" i="77"/>
  <c r="L87" i="77"/>
  <c r="L90" i="77"/>
  <c r="L88" i="77"/>
  <c r="L86" i="77"/>
  <c r="L96" i="77"/>
  <c r="L97" i="77" s="1"/>
  <c r="L102" i="77" s="1"/>
  <c r="L79" i="77"/>
  <c r="L77" i="77"/>
  <c r="L75" i="77"/>
  <c r="L43" i="77"/>
  <c r="L91" i="77"/>
  <c r="L80" i="77"/>
  <c r="L78" i="77"/>
  <c r="L76" i="77"/>
  <c r="L125" i="77"/>
  <c r="L42" i="77"/>
  <c r="L44" i="77" s="1"/>
  <c r="L68" i="77" s="1"/>
  <c r="L96" i="75"/>
  <c r="L97" i="75" s="1"/>
  <c r="L102" i="75" s="1"/>
  <c r="L79" i="75"/>
  <c r="L77" i="75"/>
  <c r="L75" i="75"/>
  <c r="L43" i="75"/>
  <c r="L89" i="75"/>
  <c r="L87" i="75"/>
  <c r="L48" i="75"/>
  <c r="L80" i="75"/>
  <c r="L78" i="75"/>
  <c r="L76" i="75"/>
  <c r="L54" i="75"/>
  <c r="L125" i="75"/>
  <c r="L90" i="75"/>
  <c r="L88" i="75"/>
  <c r="L86" i="75"/>
  <c r="L42" i="75"/>
  <c r="L44" i="75" s="1"/>
  <c r="L68" i="75" s="1"/>
  <c r="L68" i="73"/>
  <c r="L54" i="73"/>
  <c r="L52" i="73"/>
  <c r="L48" i="73"/>
  <c r="L53" i="73"/>
  <c r="L51" i="73"/>
  <c r="L50" i="73"/>
  <c r="L55" i="73"/>
  <c r="L49" i="73"/>
  <c r="L81" i="73"/>
  <c r="L127" i="73" s="1"/>
  <c r="L92" i="73"/>
  <c r="L101" i="73" s="1"/>
  <c r="L103" i="73" s="1"/>
  <c r="L128" i="73" s="1"/>
  <c r="L50" i="83" l="1"/>
  <c r="L81" i="83"/>
  <c r="L127" i="83" s="1"/>
  <c r="L48" i="83"/>
  <c r="L54" i="83"/>
  <c r="L51" i="83"/>
  <c r="L53" i="83"/>
  <c r="L49" i="83"/>
  <c r="L55" i="83"/>
  <c r="L92" i="83"/>
  <c r="L101" i="83" s="1"/>
  <c r="L103" i="83" s="1"/>
  <c r="L128" i="83" s="1"/>
  <c r="L52" i="83"/>
  <c r="L68" i="81"/>
  <c r="L48" i="81"/>
  <c r="L51" i="81"/>
  <c r="L52" i="81"/>
  <c r="L53" i="81"/>
  <c r="L55" i="81"/>
  <c r="L54" i="81"/>
  <c r="L49" i="81"/>
  <c r="L50" i="81"/>
  <c r="L92" i="79"/>
  <c r="L101" i="79" s="1"/>
  <c r="L103" i="79" s="1"/>
  <c r="L128" i="79" s="1"/>
  <c r="L51" i="79"/>
  <c r="L55" i="79"/>
  <c r="L81" i="79"/>
  <c r="L127" i="79" s="1"/>
  <c r="L50" i="79"/>
  <c r="L49" i="79"/>
  <c r="L54" i="79"/>
  <c r="L53" i="79"/>
  <c r="L48" i="79"/>
  <c r="L52" i="79"/>
  <c r="L55" i="77"/>
  <c r="L50" i="77"/>
  <c r="L49" i="77"/>
  <c r="L81" i="77"/>
  <c r="L127" i="77" s="1"/>
  <c r="L53" i="77"/>
  <c r="L48" i="77"/>
  <c r="L54" i="77"/>
  <c r="L92" i="77"/>
  <c r="L101" i="77" s="1"/>
  <c r="L103" i="77" s="1"/>
  <c r="L128" i="77" s="1"/>
  <c r="L51" i="77"/>
  <c r="L52" i="77"/>
  <c r="L53" i="75"/>
  <c r="L81" i="75"/>
  <c r="L127" i="75" s="1"/>
  <c r="L50" i="75"/>
  <c r="L51" i="75"/>
  <c r="L55" i="75"/>
  <c r="L49" i="75"/>
  <c r="L52" i="75"/>
  <c r="L56" i="73"/>
  <c r="L69" i="73" s="1"/>
  <c r="L71" i="73" s="1"/>
  <c r="L126" i="73" s="1"/>
  <c r="L130" i="73" s="1"/>
  <c r="L56" i="83" l="1"/>
  <c r="L69" i="83" s="1"/>
  <c r="L71" i="83" s="1"/>
  <c r="L126" i="83" s="1"/>
  <c r="L130" i="83" s="1"/>
  <c r="L56" i="81"/>
  <c r="L69" i="81" s="1"/>
  <c r="L71" i="81"/>
  <c r="L126" i="81" s="1"/>
  <c r="L130" i="81" s="1"/>
  <c r="L56" i="79"/>
  <c r="L69" i="79" s="1"/>
  <c r="L71" i="79" s="1"/>
  <c r="L126" i="79" s="1"/>
  <c r="L130" i="79" s="1"/>
  <c r="L56" i="77"/>
  <c r="L69" i="77" s="1"/>
  <c r="L71" i="77" s="1"/>
  <c r="L126" i="77" s="1"/>
  <c r="L130" i="77" s="1"/>
  <c r="L56" i="75"/>
  <c r="L69" i="75" s="1"/>
  <c r="L71" i="75" s="1"/>
  <c r="L126" i="75" s="1"/>
  <c r="L115" i="73"/>
  <c r="L115" i="83" l="1"/>
  <c r="L115" i="81"/>
  <c r="L115" i="79"/>
  <c r="L116" i="79"/>
  <c r="L115" i="77"/>
  <c r="L116" i="77"/>
  <c r="L116" i="73"/>
  <c r="L132" i="73" s="1"/>
  <c r="L116" i="83" l="1"/>
  <c r="L132" i="83"/>
  <c r="L116" i="81"/>
  <c r="L132" i="79"/>
  <c r="L132" i="77"/>
  <c r="L119" i="73"/>
  <c r="L118" i="73"/>
  <c r="L118" i="83" l="1"/>
  <c r="L120" i="83"/>
  <c r="L119" i="83"/>
  <c r="L132" i="81"/>
  <c r="L120" i="79"/>
  <c r="L119" i="79"/>
  <c r="L118" i="79"/>
  <c r="L117" i="79" s="1"/>
  <c r="L121" i="79" s="1"/>
  <c r="L131" i="79" s="1"/>
  <c r="L120" i="77"/>
  <c r="L119" i="77"/>
  <c r="L118" i="77"/>
  <c r="L117" i="77" s="1"/>
  <c r="L121" i="77" s="1"/>
  <c r="L131" i="77" s="1"/>
  <c r="L117" i="83" l="1"/>
  <c r="L121" i="83" s="1"/>
  <c r="L131" i="83" s="1"/>
  <c r="L119" i="81"/>
  <c r="L118" i="81"/>
  <c r="L120" i="81"/>
  <c r="L117" i="81" l="1"/>
  <c r="L121" i="81" s="1"/>
  <c r="L131" i="81" s="1"/>
  <c r="K117" i="71" l="1"/>
  <c r="L109" i="71"/>
  <c r="L108" i="71"/>
  <c r="L107" i="71"/>
  <c r="L111" i="71" s="1"/>
  <c r="L129" i="71" s="1"/>
  <c r="K90" i="71"/>
  <c r="K89" i="71"/>
  <c r="K88" i="71"/>
  <c r="K87" i="71"/>
  <c r="K86" i="71"/>
  <c r="K78" i="71"/>
  <c r="K77" i="71"/>
  <c r="K76" i="71"/>
  <c r="K75" i="71"/>
  <c r="L62" i="71"/>
  <c r="K62" i="71"/>
  <c r="L61" i="71"/>
  <c r="K50" i="71"/>
  <c r="K56" i="71" s="1"/>
  <c r="K43" i="71"/>
  <c r="K42" i="71"/>
  <c r="L31" i="71"/>
  <c r="L37" i="71" s="1"/>
  <c r="L60" i="71"/>
  <c r="L64" i="71" s="1"/>
  <c r="L70" i="71" s="1"/>
  <c r="G98" i="45"/>
  <c r="G97" i="45"/>
  <c r="G83" i="45"/>
  <c r="I74" i="45"/>
  <c r="I75" i="45"/>
  <c r="Z120" i="71"/>
  <c r="Z119" i="71"/>
  <c r="Z118" i="71"/>
  <c r="Y117" i="71"/>
  <c r="Z115" i="71"/>
  <c r="Z116" i="71" s="1"/>
  <c r="Z111" i="71"/>
  <c r="Z129" i="71" s="1"/>
  <c r="Y78" i="71"/>
  <c r="Y80" i="71"/>
  <c r="Y77" i="71"/>
  <c r="Y75" i="71"/>
  <c r="Y76" i="71"/>
  <c r="Y62" i="71"/>
  <c r="Z62" i="71" s="1"/>
  <c r="Z61" i="71"/>
  <c r="Z60" i="71"/>
  <c r="Y50" i="71"/>
  <c r="Y56" i="71" s="1"/>
  <c r="Y79" i="71" s="1"/>
  <c r="Y44" i="71"/>
  <c r="Z31" i="71"/>
  <c r="Z37" i="71" s="1"/>
  <c r="Y117" i="77"/>
  <c r="Z111" i="77"/>
  <c r="Z129" i="77" s="1"/>
  <c r="Y86" i="77"/>
  <c r="Y80" i="77"/>
  <c r="Y76" i="77"/>
  <c r="Y62" i="77"/>
  <c r="Z62" i="77"/>
  <c r="Z61" i="77"/>
  <c r="Z60" i="77"/>
  <c r="Z64" i="77" s="1"/>
  <c r="Z70" i="77" s="1"/>
  <c r="Y50" i="77"/>
  <c r="Y56" i="77" s="1"/>
  <c r="Y79" i="77" s="1"/>
  <c r="Y43" i="77"/>
  <c r="Y44" i="77" s="1"/>
  <c r="Z34" i="77"/>
  <c r="Z31" i="77"/>
  <c r="Z33" i="77" s="1"/>
  <c r="M89" i="77"/>
  <c r="G82" i="45"/>
  <c r="Y75" i="73"/>
  <c r="Y76" i="73" s="1"/>
  <c r="Y78" i="73"/>
  <c r="Y77" i="73"/>
  <c r="Y80" i="73"/>
  <c r="Q136" i="83"/>
  <c r="Q137" i="83" s="1"/>
  <c r="Q136" i="81"/>
  <c r="Q137" i="81" s="1"/>
  <c r="M62" i="81"/>
  <c r="S62" i="79"/>
  <c r="T62" i="79" s="1"/>
  <c r="M62" i="79"/>
  <c r="N62" i="79" s="1"/>
  <c r="Q142" i="73"/>
  <c r="Q145" i="73"/>
  <c r="I117" i="83"/>
  <c r="J109" i="83"/>
  <c r="J108" i="83"/>
  <c r="J111" i="83" s="1"/>
  <c r="J129" i="83" s="1"/>
  <c r="J107" i="83"/>
  <c r="I90" i="83"/>
  <c r="I89" i="83"/>
  <c r="I88" i="83"/>
  <c r="I87" i="83"/>
  <c r="I86" i="83"/>
  <c r="I78" i="83"/>
  <c r="I77" i="83"/>
  <c r="I75" i="83"/>
  <c r="I76" i="83" s="1"/>
  <c r="I62" i="83"/>
  <c r="J62" i="83" s="1"/>
  <c r="J61" i="83"/>
  <c r="J60" i="83"/>
  <c r="I50" i="83"/>
  <c r="I56" i="83"/>
  <c r="I43" i="83"/>
  <c r="I42" i="83"/>
  <c r="I44" i="83" s="1"/>
  <c r="J31" i="83"/>
  <c r="J34" i="83"/>
  <c r="I117" i="81"/>
  <c r="J109" i="81"/>
  <c r="J108" i="81"/>
  <c r="J111" i="81" s="1"/>
  <c r="J129" i="81" s="1"/>
  <c r="J107" i="81"/>
  <c r="I90" i="81"/>
  <c r="I89" i="81"/>
  <c r="I88" i="81"/>
  <c r="I87" i="81"/>
  <c r="I86" i="81"/>
  <c r="I78" i="81"/>
  <c r="J78" i="81" s="1"/>
  <c r="I77" i="81"/>
  <c r="I75" i="81"/>
  <c r="I76" i="81" s="1"/>
  <c r="I62" i="81"/>
  <c r="J62" i="81" s="1"/>
  <c r="J64" i="81" s="1"/>
  <c r="J70" i="81" s="1"/>
  <c r="J61" i="81"/>
  <c r="I50" i="81"/>
  <c r="I56" i="81"/>
  <c r="I43" i="81"/>
  <c r="I44" i="81" s="1"/>
  <c r="I42" i="81"/>
  <c r="I117" i="79"/>
  <c r="J109" i="79"/>
  <c r="J108" i="79"/>
  <c r="J107" i="79"/>
  <c r="J111" i="79"/>
  <c r="J129" i="79" s="1"/>
  <c r="I90" i="79"/>
  <c r="I89" i="79"/>
  <c r="I88" i="79"/>
  <c r="I87" i="79"/>
  <c r="I86" i="79"/>
  <c r="I78" i="79"/>
  <c r="I77" i="79"/>
  <c r="I76" i="79"/>
  <c r="I75" i="79"/>
  <c r="I62" i="79"/>
  <c r="J62" i="79" s="1"/>
  <c r="J61" i="79"/>
  <c r="I50" i="79"/>
  <c r="I56" i="79" s="1"/>
  <c r="I43" i="79"/>
  <c r="I42" i="79"/>
  <c r="J42" i="79" s="1"/>
  <c r="J31" i="79"/>
  <c r="J37" i="79" s="1"/>
  <c r="J60" i="79"/>
  <c r="I117" i="77"/>
  <c r="J109" i="77"/>
  <c r="J108" i="77"/>
  <c r="J111" i="77" s="1"/>
  <c r="J129" i="77" s="1"/>
  <c r="J107" i="77"/>
  <c r="I90" i="77"/>
  <c r="I89" i="77"/>
  <c r="I88" i="77"/>
  <c r="I87" i="77"/>
  <c r="I86" i="77"/>
  <c r="I78" i="77"/>
  <c r="I79" i="77" s="1"/>
  <c r="I77" i="77"/>
  <c r="I75" i="77"/>
  <c r="I76" i="77" s="1"/>
  <c r="J62" i="77"/>
  <c r="I62" i="77"/>
  <c r="J61" i="77"/>
  <c r="I50" i="77"/>
  <c r="I56" i="77"/>
  <c r="I43" i="77"/>
  <c r="I42" i="77"/>
  <c r="J31" i="77"/>
  <c r="I117" i="75"/>
  <c r="J109" i="75"/>
  <c r="J108" i="75"/>
  <c r="J107" i="75"/>
  <c r="I90" i="75"/>
  <c r="I89" i="75"/>
  <c r="I88" i="75"/>
  <c r="I87" i="75"/>
  <c r="I86" i="75"/>
  <c r="I78" i="75"/>
  <c r="I80" i="75" s="1"/>
  <c r="I77" i="75"/>
  <c r="I75" i="75"/>
  <c r="I76" i="75" s="1"/>
  <c r="I62" i="75"/>
  <c r="J62" i="75" s="1"/>
  <c r="J61" i="75"/>
  <c r="I50" i="75"/>
  <c r="I56" i="75" s="1"/>
  <c r="I43" i="75"/>
  <c r="I42" i="75"/>
  <c r="J60" i="73"/>
  <c r="I117" i="73"/>
  <c r="J109" i="73"/>
  <c r="J108" i="73"/>
  <c r="J107" i="73"/>
  <c r="J111" i="73" s="1"/>
  <c r="J129" i="73"/>
  <c r="I90" i="73"/>
  <c r="I89" i="73"/>
  <c r="I88" i="73"/>
  <c r="I87" i="73"/>
  <c r="I86" i="73"/>
  <c r="I78" i="73"/>
  <c r="I80" i="73" s="1"/>
  <c r="I77" i="73"/>
  <c r="I76" i="73"/>
  <c r="I75" i="73"/>
  <c r="I62" i="73"/>
  <c r="J62" i="73" s="1"/>
  <c r="J61" i="73"/>
  <c r="I50" i="73"/>
  <c r="I56" i="73" s="1"/>
  <c r="I43" i="73"/>
  <c r="I42" i="73"/>
  <c r="I44" i="73" s="1"/>
  <c r="M62" i="71"/>
  <c r="I80" i="83"/>
  <c r="J33" i="83"/>
  <c r="J60" i="81"/>
  <c r="J31" i="81"/>
  <c r="J37" i="81" s="1"/>
  <c r="I44" i="79"/>
  <c r="I80" i="79"/>
  <c r="I44" i="77"/>
  <c r="I80" i="77"/>
  <c r="J60" i="77"/>
  <c r="J60" i="75"/>
  <c r="J31" i="75"/>
  <c r="J33" i="75" s="1"/>
  <c r="J37" i="75" s="1"/>
  <c r="J31" i="73"/>
  <c r="J37" i="73" s="1"/>
  <c r="J78" i="73" s="1"/>
  <c r="I79" i="73"/>
  <c r="J90" i="81"/>
  <c r="J34" i="75"/>
  <c r="J86" i="73"/>
  <c r="J89" i="73"/>
  <c r="I117" i="71"/>
  <c r="J109" i="71"/>
  <c r="J108" i="71"/>
  <c r="J107" i="71"/>
  <c r="J111" i="71" s="1"/>
  <c r="J129" i="71" s="1"/>
  <c r="I90" i="71"/>
  <c r="I89" i="71"/>
  <c r="I88" i="71"/>
  <c r="I87" i="71"/>
  <c r="I86" i="71"/>
  <c r="I78" i="71"/>
  <c r="I77" i="71"/>
  <c r="I75" i="71"/>
  <c r="I76" i="71" s="1"/>
  <c r="I62" i="71"/>
  <c r="J62" i="71" s="1"/>
  <c r="J61" i="71"/>
  <c r="I50" i="71"/>
  <c r="I56" i="71"/>
  <c r="I43" i="71"/>
  <c r="J43" i="71" s="1"/>
  <c r="I42" i="71"/>
  <c r="J31" i="71"/>
  <c r="J37" i="71"/>
  <c r="C67" i="45"/>
  <c r="D72" i="45"/>
  <c r="C63" i="45"/>
  <c r="J54" i="45"/>
  <c r="K54" i="45"/>
  <c r="I54" i="45"/>
  <c r="E27" i="45"/>
  <c r="G27" i="45"/>
  <c r="E28" i="45"/>
  <c r="G28" i="45"/>
  <c r="E29" i="45"/>
  <c r="G29" i="45"/>
  <c r="E30" i="45"/>
  <c r="G30" i="45"/>
  <c r="J64" i="45"/>
  <c r="G72" i="45"/>
  <c r="F57" i="45"/>
  <c r="Z61" i="73"/>
  <c r="Z60" i="73"/>
  <c r="Z120" i="73"/>
  <c r="Z119" i="73"/>
  <c r="Z118" i="73"/>
  <c r="Y117" i="73"/>
  <c r="Z115" i="73"/>
  <c r="Z111" i="73"/>
  <c r="Z129" i="73" s="1"/>
  <c r="Y62" i="73"/>
  <c r="Z62" i="73" s="1"/>
  <c r="Y50" i="73"/>
  <c r="Y56" i="73" s="1"/>
  <c r="Y44" i="73"/>
  <c r="Z31" i="73"/>
  <c r="Z37" i="73"/>
  <c r="V117" i="79"/>
  <c r="W111" i="79"/>
  <c r="W129" i="79" s="1"/>
  <c r="V86" i="79"/>
  <c r="V80" i="79"/>
  <c r="V76" i="79"/>
  <c r="V62" i="79"/>
  <c r="W62" i="79"/>
  <c r="W61" i="79"/>
  <c r="W60" i="79"/>
  <c r="V50" i="79"/>
  <c r="V43" i="79"/>
  <c r="V44" i="79" s="1"/>
  <c r="W31" i="79"/>
  <c r="W34" i="79" s="1"/>
  <c r="T141" i="79"/>
  <c r="T61" i="79"/>
  <c r="T60" i="79"/>
  <c r="T120" i="79"/>
  <c r="T119" i="79"/>
  <c r="T118" i="79"/>
  <c r="T117" i="79" s="1"/>
  <c r="S117" i="79"/>
  <c r="T115" i="79"/>
  <c r="T116" i="79" s="1"/>
  <c r="T111" i="79"/>
  <c r="T129" i="79" s="1"/>
  <c r="S78" i="79"/>
  <c r="S80" i="79" s="1"/>
  <c r="T80" i="79" s="1"/>
  <c r="S77" i="79"/>
  <c r="T77" i="79" s="1"/>
  <c r="S75" i="79"/>
  <c r="S76" i="79" s="1"/>
  <c r="S50" i="79"/>
  <c r="S56" i="79" s="1"/>
  <c r="S79" i="79"/>
  <c r="T79" i="79" s="1"/>
  <c r="S44" i="79"/>
  <c r="T31" i="79"/>
  <c r="T37" i="79" s="1"/>
  <c r="V117" i="77"/>
  <c r="W111" i="77"/>
  <c r="W129" i="77" s="1"/>
  <c r="V86" i="77"/>
  <c r="V80" i="77"/>
  <c r="V76" i="77"/>
  <c r="V62" i="77"/>
  <c r="W62" i="77"/>
  <c r="W61" i="77"/>
  <c r="W60" i="77"/>
  <c r="V50" i="77"/>
  <c r="V56" i="77"/>
  <c r="V79" i="77" s="1"/>
  <c r="V43" i="77"/>
  <c r="V44" i="77" s="1"/>
  <c r="W31" i="77"/>
  <c r="W33" i="77" s="1"/>
  <c r="W37" i="77" s="1"/>
  <c r="S117" i="77"/>
  <c r="S78" i="77"/>
  <c r="S77" i="77"/>
  <c r="S75" i="77"/>
  <c r="S76" i="77"/>
  <c r="S86" i="75"/>
  <c r="S43" i="75"/>
  <c r="S44" i="75" s="1"/>
  <c r="S117" i="75"/>
  <c r="T111" i="75"/>
  <c r="T129" i="75"/>
  <c r="S80" i="75"/>
  <c r="S76" i="75"/>
  <c r="S62" i="75"/>
  <c r="T62" i="75"/>
  <c r="T61" i="75"/>
  <c r="T60" i="75"/>
  <c r="S50" i="75"/>
  <c r="S56" i="75"/>
  <c r="S79" i="75" s="1"/>
  <c r="T31" i="75"/>
  <c r="S117" i="73"/>
  <c r="T111" i="73"/>
  <c r="T129" i="73" s="1"/>
  <c r="S86" i="73"/>
  <c r="S80" i="73"/>
  <c r="S76" i="73"/>
  <c r="S62" i="73"/>
  <c r="T62" i="73" s="1"/>
  <c r="T61" i="73"/>
  <c r="T60" i="73"/>
  <c r="S50" i="73"/>
  <c r="S56" i="73" s="1"/>
  <c r="S79" i="73" s="1"/>
  <c r="S43" i="73"/>
  <c r="S44" i="73" s="1"/>
  <c r="T31" i="73"/>
  <c r="T37" i="73" s="1"/>
  <c r="T75" i="73" s="1"/>
  <c r="V75" i="73"/>
  <c r="V76" i="73"/>
  <c r="V117" i="73"/>
  <c r="W111" i="73"/>
  <c r="W129" i="73" s="1"/>
  <c r="V77" i="73"/>
  <c r="W62" i="73"/>
  <c r="W61" i="73"/>
  <c r="W60" i="73"/>
  <c r="V50" i="73"/>
  <c r="V56" i="73"/>
  <c r="V79" i="73" s="1"/>
  <c r="V43" i="73"/>
  <c r="V44" i="73"/>
  <c r="W31" i="73"/>
  <c r="W37" i="73" s="1"/>
  <c r="V77" i="71"/>
  <c r="W77" i="71" s="1"/>
  <c r="V75" i="71"/>
  <c r="V76" i="71" s="1"/>
  <c r="W76" i="71" s="1"/>
  <c r="W60" i="71"/>
  <c r="W64" i="71" s="1"/>
  <c r="W70" i="71" s="1"/>
  <c r="V43" i="71"/>
  <c r="V44" i="71" s="1"/>
  <c r="W34" i="77"/>
  <c r="T34" i="75"/>
  <c r="V117" i="71"/>
  <c r="W111" i="71"/>
  <c r="W129" i="71"/>
  <c r="W62" i="71"/>
  <c r="W61" i="71"/>
  <c r="V50" i="71"/>
  <c r="V56" i="71"/>
  <c r="W31" i="71"/>
  <c r="W37" i="71"/>
  <c r="S86" i="71"/>
  <c r="S43" i="71"/>
  <c r="T111" i="77"/>
  <c r="T129" i="77" s="1"/>
  <c r="S62" i="77"/>
  <c r="T62" i="77"/>
  <c r="T64" i="77" s="1"/>
  <c r="T70" i="77" s="1"/>
  <c r="T61" i="77"/>
  <c r="T60" i="77"/>
  <c r="S50" i="77"/>
  <c r="S56" i="77"/>
  <c r="S44" i="77"/>
  <c r="T31" i="77"/>
  <c r="P44" i="71"/>
  <c r="P117" i="83"/>
  <c r="Q109" i="83"/>
  <c r="Q108" i="83"/>
  <c r="Q107" i="83"/>
  <c r="P76" i="83"/>
  <c r="P62" i="83"/>
  <c r="Q62" i="83" s="1"/>
  <c r="Q61" i="83"/>
  <c r="P50" i="83"/>
  <c r="P56" i="83"/>
  <c r="P79" i="83" s="1"/>
  <c r="Q31" i="83"/>
  <c r="P117" i="81"/>
  <c r="Q109" i="81"/>
  <c r="Q108" i="81"/>
  <c r="Q107" i="81"/>
  <c r="P80" i="81"/>
  <c r="P62" i="81"/>
  <c r="Q62" i="81"/>
  <c r="Q61" i="81"/>
  <c r="P50" i="81"/>
  <c r="P56" i="81" s="1"/>
  <c r="P79" i="81" s="1"/>
  <c r="P117" i="79"/>
  <c r="Q109" i="79"/>
  <c r="Q108" i="79"/>
  <c r="Q107" i="79"/>
  <c r="Q111" i="79" s="1"/>
  <c r="Q129" i="79" s="1"/>
  <c r="P76" i="79"/>
  <c r="P62" i="79"/>
  <c r="Q62" i="79" s="1"/>
  <c r="Q61" i="79"/>
  <c r="P50" i="79"/>
  <c r="P56" i="79" s="1"/>
  <c r="P79" i="79" s="1"/>
  <c r="Q31" i="79"/>
  <c r="Q37" i="79" s="1"/>
  <c r="Q60" i="79"/>
  <c r="P117" i="77"/>
  <c r="Q109" i="77"/>
  <c r="Q108" i="77"/>
  <c r="Q107" i="77"/>
  <c r="Q111" i="77" s="1"/>
  <c r="Q129" i="77" s="1"/>
  <c r="P80" i="77"/>
  <c r="P76" i="77"/>
  <c r="P62" i="77"/>
  <c r="Q62" i="77"/>
  <c r="Q64" i="77" s="1"/>
  <c r="Q70" i="77" s="1"/>
  <c r="Q61" i="77"/>
  <c r="Q60" i="77"/>
  <c r="P50" i="77"/>
  <c r="P56" i="77"/>
  <c r="P79" i="77" s="1"/>
  <c r="P44" i="77"/>
  <c r="Q31" i="77"/>
  <c r="P117" i="75"/>
  <c r="Q109" i="75"/>
  <c r="Q108" i="75"/>
  <c r="Q107" i="75"/>
  <c r="P76" i="75"/>
  <c r="P62" i="75"/>
  <c r="Q62" i="75" s="1"/>
  <c r="Q61" i="75"/>
  <c r="Q60" i="75"/>
  <c r="P50" i="75"/>
  <c r="P56" i="75"/>
  <c r="P79" i="75" s="1"/>
  <c r="Q31" i="75"/>
  <c r="P117" i="73"/>
  <c r="Q109" i="73"/>
  <c r="Q108" i="73"/>
  <c r="Q107" i="73"/>
  <c r="P76" i="73"/>
  <c r="P62" i="73"/>
  <c r="Q62" i="73" s="1"/>
  <c r="Q64" i="73" s="1"/>
  <c r="Q70" i="73" s="1"/>
  <c r="Q61" i="73"/>
  <c r="P50" i="73"/>
  <c r="Q31" i="73"/>
  <c r="Q37" i="73" s="1"/>
  <c r="Q60" i="73"/>
  <c r="T31" i="71"/>
  <c r="T37" i="71" s="1"/>
  <c r="S50" i="71"/>
  <c r="S56" i="71"/>
  <c r="S79" i="71"/>
  <c r="T60" i="71"/>
  <c r="T61" i="71"/>
  <c r="S62" i="71"/>
  <c r="T62" i="71"/>
  <c r="T64" i="71" s="1"/>
  <c r="T70" i="71" s="1"/>
  <c r="S76" i="71"/>
  <c r="S80" i="71"/>
  <c r="T111" i="71"/>
  <c r="T129" i="71" s="1"/>
  <c r="S117" i="71"/>
  <c r="Q31" i="71"/>
  <c r="Q37" i="71" s="1"/>
  <c r="Q60" i="71"/>
  <c r="P117" i="71"/>
  <c r="Q109" i="71"/>
  <c r="Q108" i="71"/>
  <c r="Q107" i="71"/>
  <c r="P76" i="71"/>
  <c r="P62" i="71"/>
  <c r="Q62" i="71" s="1"/>
  <c r="Q64" i="71" s="1"/>
  <c r="Q70" i="71" s="1"/>
  <c r="Q61" i="71"/>
  <c r="P50" i="71"/>
  <c r="I13" i="45"/>
  <c r="G78" i="83"/>
  <c r="G79" i="83" s="1"/>
  <c r="G75" i="83"/>
  <c r="G76" i="83" s="1"/>
  <c r="G78" i="81"/>
  <c r="G75" i="81"/>
  <c r="G78" i="79"/>
  <c r="G75" i="79"/>
  <c r="G76" i="79" s="1"/>
  <c r="N30" i="77"/>
  <c r="N60" i="77" s="1"/>
  <c r="G78" i="77"/>
  <c r="G80" i="77" s="1"/>
  <c r="G75" i="77"/>
  <c r="G76" i="77" s="1"/>
  <c r="G78" i="75"/>
  <c r="G75" i="75"/>
  <c r="G76" i="75"/>
  <c r="G78" i="73"/>
  <c r="G80" i="73"/>
  <c r="G75" i="73"/>
  <c r="G76" i="73" s="1"/>
  <c r="M77" i="71"/>
  <c r="N62" i="71"/>
  <c r="N61" i="71"/>
  <c r="G78" i="71"/>
  <c r="G80" i="71" s="1"/>
  <c r="G75" i="71"/>
  <c r="G76" i="71" s="1"/>
  <c r="F44" i="45"/>
  <c r="F25" i="45"/>
  <c r="M78" i="83"/>
  <c r="M80" i="83" s="1"/>
  <c r="M75" i="83"/>
  <c r="M76" i="83" s="1"/>
  <c r="M117" i="83"/>
  <c r="G117" i="83"/>
  <c r="E117" i="83"/>
  <c r="N109" i="83"/>
  <c r="N111" i="83" s="1"/>
  <c r="N129" i="83" s="1"/>
  <c r="H109" i="83"/>
  <c r="F109" i="83"/>
  <c r="N108" i="83"/>
  <c r="H108" i="83"/>
  <c r="F108" i="83"/>
  <c r="F111" i="83" s="1"/>
  <c r="F129" i="83" s="1"/>
  <c r="N107" i="83"/>
  <c r="H107" i="83"/>
  <c r="F107" i="83"/>
  <c r="M90" i="83"/>
  <c r="G90" i="83"/>
  <c r="E90" i="83"/>
  <c r="M89" i="83"/>
  <c r="G89" i="83"/>
  <c r="E89" i="83"/>
  <c r="M88" i="83"/>
  <c r="G88" i="83"/>
  <c r="E88" i="83"/>
  <c r="M87" i="83"/>
  <c r="G87" i="83"/>
  <c r="E87" i="83"/>
  <c r="M86" i="83"/>
  <c r="G86" i="83"/>
  <c r="E86" i="83"/>
  <c r="E78" i="83"/>
  <c r="E80" i="83" s="1"/>
  <c r="M77" i="83"/>
  <c r="G77" i="83"/>
  <c r="E77" i="83"/>
  <c r="E75" i="83"/>
  <c r="E76" i="83" s="1"/>
  <c r="M62" i="83"/>
  <c r="N62" i="83" s="1"/>
  <c r="G62" i="83"/>
  <c r="H62" i="83" s="1"/>
  <c r="H64" i="83" s="1"/>
  <c r="H70" i="83" s="1"/>
  <c r="E62" i="83"/>
  <c r="F62" i="83" s="1"/>
  <c r="N61" i="83"/>
  <c r="H61" i="83"/>
  <c r="F61" i="83"/>
  <c r="H60" i="83"/>
  <c r="F60" i="83"/>
  <c r="M50" i="83"/>
  <c r="G50" i="83"/>
  <c r="G56" i="83" s="1"/>
  <c r="E50" i="83"/>
  <c r="E56" i="83"/>
  <c r="E69" i="83" s="1"/>
  <c r="M43" i="83"/>
  <c r="G43" i="83"/>
  <c r="E43" i="83"/>
  <c r="M42" i="83"/>
  <c r="G42" i="83"/>
  <c r="G44" i="83" s="1"/>
  <c r="E42" i="83"/>
  <c r="E44" i="83"/>
  <c r="E68" i="83" s="1"/>
  <c r="E71" i="83" s="1"/>
  <c r="F31" i="83"/>
  <c r="N31" i="83"/>
  <c r="N33" i="83" s="1"/>
  <c r="H31" i="83"/>
  <c r="F23" i="83"/>
  <c r="M78" i="81"/>
  <c r="M80" i="81" s="1"/>
  <c r="M75" i="81"/>
  <c r="M76" i="81"/>
  <c r="M117" i="81"/>
  <c r="G117" i="81"/>
  <c r="E117" i="81"/>
  <c r="N109" i="81"/>
  <c r="H109" i="81"/>
  <c r="F109" i="81"/>
  <c r="N108" i="81"/>
  <c r="H108" i="81"/>
  <c r="H111" i="81" s="1"/>
  <c r="H129" i="81" s="1"/>
  <c r="F108" i="81"/>
  <c r="N107" i="81"/>
  <c r="H107" i="81"/>
  <c r="F107" i="81"/>
  <c r="M90" i="81"/>
  <c r="G90" i="81"/>
  <c r="E90" i="81"/>
  <c r="M89" i="81"/>
  <c r="G89" i="81"/>
  <c r="E89" i="81"/>
  <c r="M88" i="81"/>
  <c r="G88" i="81"/>
  <c r="E88" i="81"/>
  <c r="M87" i="81"/>
  <c r="G87" i="81"/>
  <c r="E87" i="81"/>
  <c r="M86" i="81"/>
  <c r="G86" i="81"/>
  <c r="E86" i="81"/>
  <c r="G80" i="81"/>
  <c r="E78" i="81"/>
  <c r="E80" i="81" s="1"/>
  <c r="M77" i="81"/>
  <c r="G77" i="81"/>
  <c r="E77" i="81"/>
  <c r="G76" i="81"/>
  <c r="E75" i="81"/>
  <c r="E76" i="81"/>
  <c r="N62" i="81"/>
  <c r="G62" i="81"/>
  <c r="H62" i="81" s="1"/>
  <c r="E62" i="81"/>
  <c r="F62" i="81" s="1"/>
  <c r="N61" i="81"/>
  <c r="H61" i="81"/>
  <c r="F61" i="81"/>
  <c r="F60" i="81"/>
  <c r="F64" i="81" s="1"/>
  <c r="F70" i="81"/>
  <c r="M50" i="81"/>
  <c r="M56" i="81" s="1"/>
  <c r="M79" i="81" s="1"/>
  <c r="G50" i="81"/>
  <c r="G56" i="81"/>
  <c r="E50" i="81"/>
  <c r="E56" i="81" s="1"/>
  <c r="M43" i="81"/>
  <c r="G43" i="81"/>
  <c r="E43" i="81"/>
  <c r="M42" i="81"/>
  <c r="G42" i="81"/>
  <c r="G44" i="81" s="1"/>
  <c r="E42" i="81"/>
  <c r="F31" i="81"/>
  <c r="F37" i="81"/>
  <c r="F125" i="81" s="1"/>
  <c r="N30" i="81"/>
  <c r="N31" i="81" s="1"/>
  <c r="H31" i="81"/>
  <c r="H37" i="81" s="1"/>
  <c r="F23" i="81"/>
  <c r="M78" i="79"/>
  <c r="M80" i="79" s="1"/>
  <c r="M75" i="79"/>
  <c r="M76" i="79" s="1"/>
  <c r="M117" i="79"/>
  <c r="G117" i="79"/>
  <c r="E117" i="79"/>
  <c r="N109" i="79"/>
  <c r="H109" i="79"/>
  <c r="F109" i="79"/>
  <c r="N108" i="79"/>
  <c r="H108" i="79"/>
  <c r="F108" i="79"/>
  <c r="N107" i="79"/>
  <c r="H107" i="79"/>
  <c r="F107" i="79"/>
  <c r="M90" i="79"/>
  <c r="G90" i="79"/>
  <c r="E90" i="79"/>
  <c r="M89" i="79"/>
  <c r="G89" i="79"/>
  <c r="E89" i="79"/>
  <c r="M88" i="79"/>
  <c r="G88" i="79"/>
  <c r="E88" i="79"/>
  <c r="E92" i="79" s="1"/>
  <c r="E101" i="79" s="1"/>
  <c r="M87" i="79"/>
  <c r="G87" i="79"/>
  <c r="E87" i="79"/>
  <c r="M86" i="79"/>
  <c r="G86" i="79"/>
  <c r="E86" i="79"/>
  <c r="G80" i="79"/>
  <c r="E78" i="79"/>
  <c r="E80" i="79" s="1"/>
  <c r="F80" i="79" s="1"/>
  <c r="M77" i="79"/>
  <c r="G77" i="79"/>
  <c r="E77" i="79"/>
  <c r="E75" i="79"/>
  <c r="E76" i="79" s="1"/>
  <c r="G62" i="79"/>
  <c r="H62" i="79"/>
  <c r="H64" i="79" s="1"/>
  <c r="H70" i="79" s="1"/>
  <c r="E62" i="79"/>
  <c r="F62" i="79" s="1"/>
  <c r="N61" i="79"/>
  <c r="H61" i="79"/>
  <c r="F61" i="79"/>
  <c r="F60" i="79"/>
  <c r="M50" i="79"/>
  <c r="G50" i="79"/>
  <c r="G56" i="79"/>
  <c r="G79" i="79" s="1"/>
  <c r="E50" i="79"/>
  <c r="M43" i="79"/>
  <c r="G43" i="79"/>
  <c r="E43" i="79"/>
  <c r="E44" i="79" s="1"/>
  <c r="E68" i="79" s="1"/>
  <c r="M42" i="79"/>
  <c r="M44" i="79" s="1"/>
  <c r="G42" i="79"/>
  <c r="E42" i="79"/>
  <c r="F31" i="79"/>
  <c r="F37" i="79"/>
  <c r="F87" i="79" s="1"/>
  <c r="N30" i="79"/>
  <c r="N31" i="79" s="1"/>
  <c r="H60" i="79"/>
  <c r="F23" i="79"/>
  <c r="M78" i="77"/>
  <c r="M80" i="77"/>
  <c r="M75" i="77"/>
  <c r="M117" i="77"/>
  <c r="G117" i="77"/>
  <c r="E117" i="77"/>
  <c r="N109" i="77"/>
  <c r="H109" i="77"/>
  <c r="F109" i="77"/>
  <c r="N108" i="77"/>
  <c r="H108" i="77"/>
  <c r="F108" i="77"/>
  <c r="N107" i="77"/>
  <c r="H107" i="77"/>
  <c r="H111" i="77" s="1"/>
  <c r="H129" i="77" s="1"/>
  <c r="F107" i="77"/>
  <c r="M90" i="77"/>
  <c r="G90" i="77"/>
  <c r="E90" i="77"/>
  <c r="G89" i="77"/>
  <c r="E89" i="77"/>
  <c r="M88" i="77"/>
  <c r="G88" i="77"/>
  <c r="E88" i="77"/>
  <c r="M87" i="77"/>
  <c r="G87" i="77"/>
  <c r="E87" i="77"/>
  <c r="M86" i="77"/>
  <c r="G86" i="77"/>
  <c r="E86" i="77"/>
  <c r="E78" i="77"/>
  <c r="E80" i="77" s="1"/>
  <c r="M77" i="77"/>
  <c r="G77" i="77"/>
  <c r="E77" i="77"/>
  <c r="M76" i="77"/>
  <c r="E75" i="77"/>
  <c r="E76" i="77" s="1"/>
  <c r="M62" i="77"/>
  <c r="N62" i="77"/>
  <c r="G62" i="77"/>
  <c r="H62" i="77" s="1"/>
  <c r="E62" i="77"/>
  <c r="F62" i="77" s="1"/>
  <c r="F64" i="77" s="1"/>
  <c r="F70" i="77" s="1"/>
  <c r="N61" i="77"/>
  <c r="H61" i="77"/>
  <c r="F61" i="77"/>
  <c r="F60" i="77"/>
  <c r="M50" i="77"/>
  <c r="M56" i="77" s="1"/>
  <c r="M79" i="77" s="1"/>
  <c r="G50" i="77"/>
  <c r="G56" i="77" s="1"/>
  <c r="E50" i="77"/>
  <c r="E56" i="77" s="1"/>
  <c r="E69" i="77" s="1"/>
  <c r="M43" i="77"/>
  <c r="G43" i="77"/>
  <c r="E43" i="77"/>
  <c r="M42" i="77"/>
  <c r="M44" i="77" s="1"/>
  <c r="G42" i="77"/>
  <c r="E42" i="77"/>
  <c r="E44" i="77"/>
  <c r="E68" i="77" s="1"/>
  <c r="E71" i="77" s="1"/>
  <c r="F31" i="77"/>
  <c r="F33" i="77" s="1"/>
  <c r="H60" i="77"/>
  <c r="F23" i="77"/>
  <c r="M78" i="75"/>
  <c r="M75" i="75"/>
  <c r="M76" i="75" s="1"/>
  <c r="M117" i="75"/>
  <c r="G117" i="75"/>
  <c r="E117" i="75"/>
  <c r="N109" i="75"/>
  <c r="H109" i="75"/>
  <c r="F109" i="75"/>
  <c r="N108" i="75"/>
  <c r="H108" i="75"/>
  <c r="F108" i="75"/>
  <c r="F111" i="75" s="1"/>
  <c r="N107" i="75"/>
  <c r="H107" i="75"/>
  <c r="F107" i="75"/>
  <c r="M90" i="75"/>
  <c r="G90" i="75"/>
  <c r="E90" i="75"/>
  <c r="M89" i="75"/>
  <c r="G89" i="75"/>
  <c r="E89" i="75"/>
  <c r="M88" i="75"/>
  <c r="G88" i="75"/>
  <c r="E88" i="75"/>
  <c r="M87" i="75"/>
  <c r="G87" i="75"/>
  <c r="E87" i="75"/>
  <c r="M86" i="75"/>
  <c r="G86" i="75"/>
  <c r="E86" i="75"/>
  <c r="E78" i="75"/>
  <c r="E80" i="75"/>
  <c r="M77" i="75"/>
  <c r="G77" i="75"/>
  <c r="E77" i="75"/>
  <c r="E75" i="75"/>
  <c r="E76" i="75" s="1"/>
  <c r="M62" i="75"/>
  <c r="N62" i="75" s="1"/>
  <c r="G62" i="75"/>
  <c r="H62" i="75" s="1"/>
  <c r="H64" i="75" s="1"/>
  <c r="H70" i="75" s="1"/>
  <c r="E62" i="75"/>
  <c r="F62" i="75" s="1"/>
  <c r="N61" i="75"/>
  <c r="H61" i="75"/>
  <c r="F61" i="75"/>
  <c r="F60" i="75"/>
  <c r="M50" i="75"/>
  <c r="G50" i="75"/>
  <c r="E50" i="75"/>
  <c r="M43" i="75"/>
  <c r="G43" i="75"/>
  <c r="E43" i="75"/>
  <c r="M42" i="75"/>
  <c r="G42" i="75"/>
  <c r="E42" i="75"/>
  <c r="F31" i="75"/>
  <c r="N30" i="75"/>
  <c r="F23" i="75"/>
  <c r="M78" i="73"/>
  <c r="V80" i="73" s="1"/>
  <c r="M75" i="73"/>
  <c r="M76" i="73" s="1"/>
  <c r="M117" i="73"/>
  <c r="G117" i="73"/>
  <c r="E117" i="73"/>
  <c r="N109" i="73"/>
  <c r="N129" i="73"/>
  <c r="H109" i="73"/>
  <c r="H111" i="73" s="1"/>
  <c r="H129" i="73" s="1"/>
  <c r="F109" i="73"/>
  <c r="N108" i="73"/>
  <c r="H108" i="73"/>
  <c r="F108" i="73"/>
  <c r="N107" i="73"/>
  <c r="N111" i="73" s="1"/>
  <c r="H107" i="73"/>
  <c r="F107" i="73"/>
  <c r="M90" i="73"/>
  <c r="G90" i="73"/>
  <c r="E90" i="73"/>
  <c r="M89" i="73"/>
  <c r="G89" i="73"/>
  <c r="E89" i="73"/>
  <c r="M88" i="73"/>
  <c r="G88" i="73"/>
  <c r="E88" i="73"/>
  <c r="M87" i="73"/>
  <c r="G87" i="73"/>
  <c r="E87" i="73"/>
  <c r="M86" i="73"/>
  <c r="G86" i="73"/>
  <c r="E86" i="73"/>
  <c r="E78" i="73"/>
  <c r="E80" i="73"/>
  <c r="M77" i="73"/>
  <c r="G77" i="73"/>
  <c r="E77" i="73"/>
  <c r="E75" i="73"/>
  <c r="M62" i="73"/>
  <c r="N62" i="73" s="1"/>
  <c r="G62" i="73"/>
  <c r="H62" i="73"/>
  <c r="E62" i="73"/>
  <c r="F62" i="73" s="1"/>
  <c r="N61" i="73"/>
  <c r="H61" i="73"/>
  <c r="F61" i="73"/>
  <c r="F60" i="73"/>
  <c r="M50" i="73"/>
  <c r="G50" i="73"/>
  <c r="G56" i="73"/>
  <c r="E50" i="73"/>
  <c r="E56" i="73" s="1"/>
  <c r="E79" i="73" s="1"/>
  <c r="M43" i="73"/>
  <c r="G43" i="73"/>
  <c r="E43" i="73"/>
  <c r="M42" i="73"/>
  <c r="G42" i="73"/>
  <c r="E42" i="73"/>
  <c r="F31" i="73"/>
  <c r="F37" i="73" s="1"/>
  <c r="N30" i="73"/>
  <c r="N60" i="73" s="1"/>
  <c r="H31" i="73"/>
  <c r="H37" i="73"/>
  <c r="F23" i="73"/>
  <c r="F89" i="81"/>
  <c r="H60" i="81"/>
  <c r="H64" i="81" s="1"/>
  <c r="H70" i="81" s="1"/>
  <c r="M56" i="79"/>
  <c r="H31" i="79"/>
  <c r="H37" i="79" s="1"/>
  <c r="E56" i="79"/>
  <c r="E69" i="79" s="1"/>
  <c r="H31" i="77"/>
  <c r="G44" i="77"/>
  <c r="H60" i="73"/>
  <c r="M78" i="71"/>
  <c r="V80" i="71" s="1"/>
  <c r="M75" i="71"/>
  <c r="M76" i="71" s="1"/>
  <c r="M117" i="71"/>
  <c r="G117" i="71"/>
  <c r="E117" i="71"/>
  <c r="N109" i="71"/>
  <c r="H109" i="71"/>
  <c r="H111" i="71" s="1"/>
  <c r="H129" i="71" s="1"/>
  <c r="F109" i="71"/>
  <c r="N108" i="71"/>
  <c r="H108" i="71"/>
  <c r="F108" i="71"/>
  <c r="N107" i="71"/>
  <c r="N111" i="71" s="1"/>
  <c r="H107" i="71"/>
  <c r="F107" i="71"/>
  <c r="M90" i="71"/>
  <c r="G90" i="71"/>
  <c r="E90" i="71"/>
  <c r="M89" i="71"/>
  <c r="G89" i="71"/>
  <c r="E89" i="71"/>
  <c r="M88" i="71"/>
  <c r="G88" i="71"/>
  <c r="E88" i="71"/>
  <c r="M87" i="71"/>
  <c r="G87" i="71"/>
  <c r="E87" i="71"/>
  <c r="M86" i="71"/>
  <c r="G86" i="71"/>
  <c r="E86" i="71"/>
  <c r="E92" i="71" s="1"/>
  <c r="E101" i="71" s="1"/>
  <c r="E78" i="71"/>
  <c r="E80" i="71" s="1"/>
  <c r="G77" i="71"/>
  <c r="E77" i="71"/>
  <c r="E75" i="71"/>
  <c r="E76" i="71" s="1"/>
  <c r="G62" i="71"/>
  <c r="H62" i="71" s="1"/>
  <c r="E62" i="71"/>
  <c r="F62" i="71" s="1"/>
  <c r="F64" i="71" s="1"/>
  <c r="F70" i="71" s="1"/>
  <c r="H61" i="71"/>
  <c r="F61" i="71"/>
  <c r="F60" i="71"/>
  <c r="M50" i="71"/>
  <c r="M56" i="71"/>
  <c r="M79" i="71" s="1"/>
  <c r="G50" i="71"/>
  <c r="G56" i="71" s="1"/>
  <c r="E50" i="71"/>
  <c r="E56" i="71" s="1"/>
  <c r="E69" i="71" s="1"/>
  <c r="M43" i="71"/>
  <c r="G43" i="71"/>
  <c r="E43" i="71"/>
  <c r="M42" i="71"/>
  <c r="M44" i="71"/>
  <c r="G42" i="71"/>
  <c r="G44" i="71" s="1"/>
  <c r="E42" i="71"/>
  <c r="E44" i="71" s="1"/>
  <c r="E68" i="71" s="1"/>
  <c r="F31" i="71"/>
  <c r="F37" i="71" s="1"/>
  <c r="F86" i="71" s="1"/>
  <c r="N60" i="71"/>
  <c r="F23" i="71"/>
  <c r="I5" i="70"/>
  <c r="I6" i="70"/>
  <c r="I7" i="70"/>
  <c r="G5" i="70"/>
  <c r="G6" i="70"/>
  <c r="H34" i="69"/>
  <c r="F34" i="69"/>
  <c r="G34" i="69"/>
  <c r="D34" i="69"/>
  <c r="H33" i="69"/>
  <c r="F33" i="69"/>
  <c r="G33" i="69"/>
  <c r="D33" i="69"/>
  <c r="H32" i="69"/>
  <c r="G32" i="69"/>
  <c r="D32" i="69"/>
  <c r="H31" i="69"/>
  <c r="G31" i="69"/>
  <c r="D31" i="69"/>
  <c r="F30" i="69"/>
  <c r="H30" i="69"/>
  <c r="D30" i="69"/>
  <c r="F29" i="69"/>
  <c r="H29" i="69"/>
  <c r="D29" i="69"/>
  <c r="F28" i="69"/>
  <c r="H28" i="69"/>
  <c r="D28" i="69"/>
  <c r="F27" i="69"/>
  <c r="H27" i="69"/>
  <c r="D27" i="69"/>
  <c r="F26" i="69"/>
  <c r="H26" i="69"/>
  <c r="D26" i="69"/>
  <c r="H19" i="69"/>
  <c r="G19" i="69"/>
  <c r="H18" i="69"/>
  <c r="G18" i="69"/>
  <c r="H17" i="69"/>
  <c r="G17" i="69"/>
  <c r="H16" i="69"/>
  <c r="G16" i="69"/>
  <c r="H15" i="69"/>
  <c r="G15" i="69"/>
  <c r="H14" i="69"/>
  <c r="G14" i="69"/>
  <c r="H13" i="69"/>
  <c r="G13" i="69"/>
  <c r="H12" i="69"/>
  <c r="G12" i="69"/>
  <c r="H11" i="69"/>
  <c r="G11" i="69"/>
  <c r="H10" i="69"/>
  <c r="G10" i="69"/>
  <c r="H9" i="69"/>
  <c r="G9" i="69"/>
  <c r="H8" i="69"/>
  <c r="G8" i="69"/>
  <c r="H7" i="69"/>
  <c r="G7" i="69"/>
  <c r="H6" i="69"/>
  <c r="H20" i="69"/>
  <c r="H21" i="69"/>
  <c r="G6" i="69"/>
  <c r="G20" i="69"/>
  <c r="E3" i="68"/>
  <c r="E12" i="68"/>
  <c r="E22" i="68"/>
  <c r="E21" i="68"/>
  <c r="E20" i="68"/>
  <c r="E19" i="68"/>
  <c r="E18" i="68"/>
  <c r="E17" i="68"/>
  <c r="E16" i="68"/>
  <c r="E23" i="68"/>
  <c r="E11" i="68"/>
  <c r="E10" i="68"/>
  <c r="E9" i="68"/>
  <c r="E8" i="68"/>
  <c r="E7" i="68"/>
  <c r="E6" i="68"/>
  <c r="E5" i="68"/>
  <c r="E4" i="68"/>
  <c r="F20" i="45"/>
  <c r="H60" i="71"/>
  <c r="H5" i="70"/>
  <c r="H6" i="70"/>
  <c r="H35" i="69"/>
  <c r="H36" i="69"/>
  <c r="G26" i="69"/>
  <c r="G27" i="69"/>
  <c r="G28" i="69"/>
  <c r="G29" i="69"/>
  <c r="G30" i="69"/>
  <c r="G35" i="69"/>
  <c r="E25" i="45"/>
  <c r="E31" i="45"/>
  <c r="G31" i="45"/>
  <c r="E26" i="45"/>
  <c r="G26" i="45"/>
  <c r="N129" i="71"/>
  <c r="H31" i="71"/>
  <c r="H37" i="71" s="1"/>
  <c r="H34" i="83"/>
  <c r="F90" i="81"/>
  <c r="H31" i="75"/>
  <c r="M56" i="75"/>
  <c r="H60" i="75"/>
  <c r="P80" i="71"/>
  <c r="F75" i="71"/>
  <c r="P44" i="83"/>
  <c r="P80" i="83"/>
  <c r="Q60" i="83"/>
  <c r="G80" i="83"/>
  <c r="M44" i="83"/>
  <c r="P44" i="81"/>
  <c r="Q31" i="81"/>
  <c r="Q37" i="81" s="1"/>
  <c r="Q88" i="81" s="1"/>
  <c r="Q60" i="81"/>
  <c r="Q64" i="81" s="1"/>
  <c r="Q70" i="81" s="1"/>
  <c r="P44" i="79"/>
  <c r="P80" i="79"/>
  <c r="M79" i="79"/>
  <c r="F91" i="79"/>
  <c r="H87" i="79"/>
  <c r="F42" i="79"/>
  <c r="Q34" i="77"/>
  <c r="N31" i="77"/>
  <c r="N34" i="77"/>
  <c r="P44" i="75"/>
  <c r="P80" i="75"/>
  <c r="Q33" i="75"/>
  <c r="F129" i="75"/>
  <c r="G80" i="75"/>
  <c r="E56" i="75"/>
  <c r="E69" i="75" s="1"/>
  <c r="P44" i="73"/>
  <c r="P80" i="73"/>
  <c r="M80" i="73"/>
  <c r="H86" i="73"/>
  <c r="H88" i="71"/>
  <c r="S44" i="71"/>
  <c r="F87" i="71"/>
  <c r="P56" i="71"/>
  <c r="P79" i="71"/>
  <c r="H87" i="71"/>
  <c r="E79" i="75"/>
  <c r="T96" i="71"/>
  <c r="T97" i="71" s="1"/>
  <c r="T102" i="71" s="1"/>
  <c r="T76" i="71"/>
  <c r="T91" i="71"/>
  <c r="T80" i="71"/>
  <c r="W75" i="71"/>
  <c r="W88" i="71"/>
  <c r="W42" i="71"/>
  <c r="W90" i="71"/>
  <c r="W91" i="71"/>
  <c r="T115" i="77"/>
  <c r="T116" i="77" s="1"/>
  <c r="T118" i="77"/>
  <c r="T117" i="77" s="1"/>
  <c r="T120" i="77"/>
  <c r="T119" i="77"/>
  <c r="T78" i="71"/>
  <c r="T88" i="71"/>
  <c r="T75" i="71"/>
  <c r="W87" i="71"/>
  <c r="W78" i="71"/>
  <c r="W86" i="71"/>
  <c r="W96" i="71"/>
  <c r="W97" i="71" s="1"/>
  <c r="W102" i="71" s="1"/>
  <c r="W89" i="71"/>
  <c r="E79" i="71"/>
  <c r="F79" i="71" s="1"/>
  <c r="H89" i="71"/>
  <c r="H90" i="71"/>
  <c r="H75" i="71"/>
  <c r="H77" i="71"/>
  <c r="Q111" i="71"/>
  <c r="Q129" i="71" s="1"/>
  <c r="V79" i="71"/>
  <c r="W79" i="71" s="1"/>
  <c r="H42" i="71"/>
  <c r="M56" i="83"/>
  <c r="M79" i="83" s="1"/>
  <c r="E44" i="81"/>
  <c r="E68" i="81" s="1"/>
  <c r="N111" i="81"/>
  <c r="N129" i="81" s="1"/>
  <c r="Q111" i="81"/>
  <c r="Q129" i="81" s="1"/>
  <c r="F76" i="81"/>
  <c r="N37" i="79"/>
  <c r="W43" i="79" s="1"/>
  <c r="N87" i="79"/>
  <c r="N60" i="79"/>
  <c r="H34" i="77"/>
  <c r="H33" i="77"/>
  <c r="F111" i="77"/>
  <c r="F129" i="77"/>
  <c r="T33" i="77"/>
  <c r="S80" i="77"/>
  <c r="N111" i="75"/>
  <c r="N129" i="75" s="1"/>
  <c r="M44" i="75"/>
  <c r="E92" i="75"/>
  <c r="E101" i="75" s="1"/>
  <c r="H111" i="75"/>
  <c r="H129" i="75" s="1"/>
  <c r="W89" i="73"/>
  <c r="W88" i="73"/>
  <c r="W77" i="73"/>
  <c r="W96" i="73"/>
  <c r="W97" i="73" s="1"/>
  <c r="W102" i="73" s="1"/>
  <c r="W75" i="73"/>
  <c r="W91" i="73"/>
  <c r="Z117" i="73"/>
  <c r="W76" i="73"/>
  <c r="F111" i="73"/>
  <c r="F129" i="73"/>
  <c r="W43" i="73"/>
  <c r="F90" i="73"/>
  <c r="F96" i="73"/>
  <c r="F97" i="73"/>
  <c r="F102" i="73" s="1"/>
  <c r="F86" i="73"/>
  <c r="H80" i="73"/>
  <c r="P56" i="73"/>
  <c r="P79" i="73"/>
  <c r="F78" i="73"/>
  <c r="M56" i="73"/>
  <c r="M79" i="73" s="1"/>
  <c r="F42" i="73"/>
  <c r="M44" i="73"/>
  <c r="Z116" i="73"/>
  <c r="Z121" i="73" s="1"/>
  <c r="Z131" i="73" s="1"/>
  <c r="I79" i="71"/>
  <c r="I44" i="71"/>
  <c r="I80" i="71"/>
  <c r="J60" i="71"/>
  <c r="J64" i="71"/>
  <c r="J70" i="71" s="1"/>
  <c r="N77" i="79"/>
  <c r="Z64" i="71"/>
  <c r="Z70" i="71" s="1"/>
  <c r="Y79" i="73"/>
  <c r="Z79" i="73" s="1"/>
  <c r="Q89" i="81"/>
  <c r="T43" i="79"/>
  <c r="T90" i="79"/>
  <c r="T88" i="79"/>
  <c r="T42" i="79"/>
  <c r="T91" i="79"/>
  <c r="T96" i="79"/>
  <c r="T97" i="79" s="1"/>
  <c r="T102" i="79"/>
  <c r="Z76" i="73"/>
  <c r="Z75" i="73"/>
  <c r="Z96" i="73"/>
  <c r="Z97" i="73" s="1"/>
  <c r="Z102" i="73" s="1"/>
  <c r="Z89" i="73"/>
  <c r="Z86" i="73"/>
  <c r="Z90" i="73"/>
  <c r="F32" i="45"/>
  <c r="T44" i="79"/>
  <c r="T68" i="79" s="1"/>
  <c r="T50" i="79"/>
  <c r="G25" i="45"/>
  <c r="G32" i="45"/>
  <c r="F33" i="45"/>
  <c r="E92" i="83" l="1"/>
  <c r="E101" i="83" s="1"/>
  <c r="H111" i="83"/>
  <c r="H129" i="83" s="1"/>
  <c r="J42" i="83"/>
  <c r="J44" i="83" s="1"/>
  <c r="J37" i="83"/>
  <c r="J91" i="83" s="1"/>
  <c r="I79" i="83"/>
  <c r="E79" i="83"/>
  <c r="E81" i="83" s="1"/>
  <c r="Q111" i="83"/>
  <c r="Q129" i="83" s="1"/>
  <c r="Q33" i="83"/>
  <c r="Q37" i="83" s="1"/>
  <c r="Q34" i="83"/>
  <c r="F33" i="83"/>
  <c r="F37" i="83"/>
  <c r="F34" i="83"/>
  <c r="J80" i="83"/>
  <c r="J90" i="83"/>
  <c r="J43" i="83"/>
  <c r="J96" i="83"/>
  <c r="J97" i="83" s="1"/>
  <c r="J102" i="83" s="1"/>
  <c r="J77" i="83"/>
  <c r="J89" i="83"/>
  <c r="J78" i="83"/>
  <c r="J88" i="83"/>
  <c r="J75" i="83"/>
  <c r="J87" i="83"/>
  <c r="J76" i="83"/>
  <c r="J86" i="83"/>
  <c r="J92" i="83" s="1"/>
  <c r="J101" i="83" s="1"/>
  <c r="J103" i="83" s="1"/>
  <c r="J128" i="83" s="1"/>
  <c r="Q64" i="83"/>
  <c r="Q70" i="83" s="1"/>
  <c r="H33" i="83"/>
  <c r="H37" i="83" s="1"/>
  <c r="F64" i="83"/>
  <c r="F70" i="83" s="1"/>
  <c r="J125" i="83"/>
  <c r="J64" i="83"/>
  <c r="J70" i="83" s="1"/>
  <c r="N34" i="83"/>
  <c r="N64" i="83"/>
  <c r="N70" i="83" s="1"/>
  <c r="E69" i="81"/>
  <c r="E71" i="81" s="1"/>
  <c r="E79" i="81"/>
  <c r="F79" i="81" s="1"/>
  <c r="F81" i="81" s="1"/>
  <c r="F127" i="81" s="1"/>
  <c r="F88" i="81"/>
  <c r="F111" i="81"/>
  <c r="F129" i="81" s="1"/>
  <c r="I80" i="81"/>
  <c r="J80" i="81" s="1"/>
  <c r="Q76" i="81"/>
  <c r="F42" i="81"/>
  <c r="F86" i="81"/>
  <c r="F78" i="81"/>
  <c r="F96" i="81"/>
  <c r="F97" i="81" s="1"/>
  <c r="F102" i="81" s="1"/>
  <c r="F43" i="81"/>
  <c r="F87" i="81"/>
  <c r="F77" i="81"/>
  <c r="F91" i="81"/>
  <c r="I79" i="81"/>
  <c r="J79" i="81" s="1"/>
  <c r="F75" i="81"/>
  <c r="N64" i="81"/>
  <c r="N70" i="81" s="1"/>
  <c r="H75" i="81"/>
  <c r="H125" i="81"/>
  <c r="H88" i="81"/>
  <c r="H76" i="81"/>
  <c r="H86" i="81"/>
  <c r="H90" i="81"/>
  <c r="H78" i="81"/>
  <c r="H91" i="81"/>
  <c r="H80" i="81"/>
  <c r="H42" i="81"/>
  <c r="H96" i="81"/>
  <c r="H97" i="81" s="1"/>
  <c r="H102" i="81" s="1"/>
  <c r="H77" i="81"/>
  <c r="H89" i="81"/>
  <c r="H87" i="81"/>
  <c r="Q80" i="81"/>
  <c r="Q78" i="81"/>
  <c r="Q79" i="81"/>
  <c r="Q125" i="81"/>
  <c r="Q42" i="81"/>
  <c r="Q90" i="81"/>
  <c r="G79" i="81"/>
  <c r="H79" i="81" s="1"/>
  <c r="Q75" i="81"/>
  <c r="Q87" i="81"/>
  <c r="H43" i="81"/>
  <c r="E81" i="81"/>
  <c r="E92" i="81"/>
  <c r="E101" i="81" s="1"/>
  <c r="J76" i="81"/>
  <c r="J125" i="81"/>
  <c r="J42" i="81"/>
  <c r="J44" i="81" s="1"/>
  <c r="J52" i="81" s="1"/>
  <c r="J89" i="81"/>
  <c r="J88" i="81"/>
  <c r="J43" i="81"/>
  <c r="J96" i="81"/>
  <c r="J97" i="81" s="1"/>
  <c r="J102" i="81" s="1"/>
  <c r="J77" i="81"/>
  <c r="J91" i="81"/>
  <c r="J87" i="81"/>
  <c r="J86" i="81"/>
  <c r="Q86" i="81"/>
  <c r="Q77" i="81"/>
  <c r="Q96" i="81"/>
  <c r="Q97" i="81" s="1"/>
  <c r="Q102" i="81" s="1"/>
  <c r="Q91" i="81"/>
  <c r="F92" i="81"/>
  <c r="F101" i="81" s="1"/>
  <c r="F103" i="81" s="1"/>
  <c r="F128" i="81" s="1"/>
  <c r="Q43" i="81"/>
  <c r="F80" i="81"/>
  <c r="M44" i="81"/>
  <c r="J75" i="81"/>
  <c r="N37" i="81"/>
  <c r="N43" i="81" s="1"/>
  <c r="N90" i="79"/>
  <c r="E71" i="79"/>
  <c r="Q76" i="79"/>
  <c r="Q79" i="79"/>
  <c r="Q90" i="79"/>
  <c r="Q80" i="79"/>
  <c r="Q87" i="79"/>
  <c r="Q92" i="79" s="1"/>
  <c r="Q101" i="79" s="1"/>
  <c r="Q89" i="79"/>
  <c r="Q86" i="79"/>
  <c r="J77" i="79"/>
  <c r="J125" i="79"/>
  <c r="J89" i="79"/>
  <c r="J76" i="79"/>
  <c r="J87" i="79"/>
  <c r="J43" i="79"/>
  <c r="N64" i="79"/>
  <c r="N70" i="79" s="1"/>
  <c r="T64" i="79"/>
  <c r="T70" i="79" s="1"/>
  <c r="N86" i="79"/>
  <c r="F89" i="79"/>
  <c r="G44" i="79"/>
  <c r="H111" i="79"/>
  <c r="H129" i="79" s="1"/>
  <c r="N111" i="79"/>
  <c r="N129" i="79" s="1"/>
  <c r="F90" i="79"/>
  <c r="F111" i="79"/>
  <c r="F129" i="79" s="1"/>
  <c r="N78" i="79"/>
  <c r="N91" i="79"/>
  <c r="W91" i="79"/>
  <c r="F125" i="79"/>
  <c r="E79" i="79"/>
  <c r="E81" i="79" s="1"/>
  <c r="T76" i="79"/>
  <c r="T121" i="79"/>
  <c r="T131" i="79" s="1"/>
  <c r="T52" i="79"/>
  <c r="T51" i="79"/>
  <c r="T55" i="79"/>
  <c r="T54" i="79"/>
  <c r="T49" i="79"/>
  <c r="T53" i="79"/>
  <c r="T48" i="79"/>
  <c r="Q64" i="79"/>
  <c r="Q70" i="79" s="1"/>
  <c r="V56" i="79"/>
  <c r="V79" i="79" s="1"/>
  <c r="H76" i="79"/>
  <c r="H96" i="79"/>
  <c r="H97" i="79" s="1"/>
  <c r="H102" i="79" s="1"/>
  <c r="H86" i="79"/>
  <c r="H75" i="79"/>
  <c r="H77" i="79"/>
  <c r="H80" i="79"/>
  <c r="H90" i="79"/>
  <c r="H42" i="79"/>
  <c r="H91" i="79"/>
  <c r="H89" i="79"/>
  <c r="H125" i="79"/>
  <c r="H88" i="79"/>
  <c r="H78" i="79"/>
  <c r="H79" i="79"/>
  <c r="H43" i="79"/>
  <c r="Q75" i="79"/>
  <c r="Q77" i="79"/>
  <c r="Q78" i="79"/>
  <c r="Q125" i="79"/>
  <c r="Q96" i="79"/>
  <c r="Q97" i="79" s="1"/>
  <c r="Q102" i="79" s="1"/>
  <c r="W86" i="79"/>
  <c r="N76" i="79"/>
  <c r="N43" i="79"/>
  <c r="N80" i="79"/>
  <c r="N88" i="79"/>
  <c r="N42" i="79"/>
  <c r="N96" i="79"/>
  <c r="N97" i="79" s="1"/>
  <c r="N102" i="79" s="1"/>
  <c r="N89" i="79"/>
  <c r="N79" i="79"/>
  <c r="N125" i="79"/>
  <c r="N75" i="79"/>
  <c r="F79" i="79"/>
  <c r="F43" i="79"/>
  <c r="F44" i="79" s="1"/>
  <c r="F64" i="79"/>
  <c r="F70" i="79" s="1"/>
  <c r="W33" i="79"/>
  <c r="W37" i="79" s="1"/>
  <c r="J64" i="79"/>
  <c r="J70" i="79" s="1"/>
  <c r="Q43" i="79"/>
  <c r="Q42" i="79"/>
  <c r="Q44" i="79" s="1"/>
  <c r="Q54" i="79" s="1"/>
  <c r="Q88" i="79"/>
  <c r="Q91" i="79"/>
  <c r="F86" i="79"/>
  <c r="F78" i="79"/>
  <c r="F96" i="79"/>
  <c r="F97" i="79" s="1"/>
  <c r="F102" i="79" s="1"/>
  <c r="F75" i="79"/>
  <c r="F55" i="79"/>
  <c r="F48" i="79"/>
  <c r="F76" i="79"/>
  <c r="F88" i="79"/>
  <c r="F49" i="79"/>
  <c r="F51" i="79"/>
  <c r="F77" i="79"/>
  <c r="T75" i="79"/>
  <c r="T89" i="79"/>
  <c r="T78" i="79"/>
  <c r="T86" i="79"/>
  <c r="W64" i="79"/>
  <c r="W70" i="79" s="1"/>
  <c r="J44" i="79"/>
  <c r="J96" i="79"/>
  <c r="J97" i="79" s="1"/>
  <c r="J102" i="79" s="1"/>
  <c r="J75" i="79"/>
  <c r="J91" i="79"/>
  <c r="J90" i="79"/>
  <c r="J80" i="79"/>
  <c r="J48" i="79"/>
  <c r="J88" i="79"/>
  <c r="J78" i="79"/>
  <c r="J86" i="79"/>
  <c r="J79" i="79"/>
  <c r="I79" i="79"/>
  <c r="N64" i="77"/>
  <c r="N70" i="77" s="1"/>
  <c r="N33" i="77"/>
  <c r="W96" i="77"/>
  <c r="W97" i="77" s="1"/>
  <c r="W102" i="77" s="1"/>
  <c r="W75" i="77"/>
  <c r="W76" i="77"/>
  <c r="W90" i="77"/>
  <c r="W89" i="77"/>
  <c r="W78" i="77"/>
  <c r="G79" i="77"/>
  <c r="W79" i="77"/>
  <c r="W64" i="77"/>
  <c r="W70" i="77" s="1"/>
  <c r="E79" i="77"/>
  <c r="H64" i="77"/>
  <c r="H70" i="77" s="1"/>
  <c r="S79" i="77"/>
  <c r="J64" i="77"/>
  <c r="J70" i="77" s="1"/>
  <c r="E81" i="77"/>
  <c r="F34" i="77"/>
  <c r="F37" i="77" s="1"/>
  <c r="H37" i="77"/>
  <c r="H43" i="77" s="1"/>
  <c r="Q33" i="77"/>
  <c r="Q37" i="77" s="1"/>
  <c r="T34" i="77"/>
  <c r="T37" i="77"/>
  <c r="W88" i="77"/>
  <c r="W87" i="77"/>
  <c r="W80" i="77"/>
  <c r="W125" i="77"/>
  <c r="W77" i="77"/>
  <c r="W42" i="77"/>
  <c r="J33" i="77"/>
  <c r="J37" i="77" s="1"/>
  <c r="J34" i="77"/>
  <c r="N111" i="77"/>
  <c r="N129" i="77" s="1"/>
  <c r="T121" i="77"/>
  <c r="T131" i="77" s="1"/>
  <c r="N37" i="77"/>
  <c r="E92" i="77"/>
  <c r="E101" i="77" s="1"/>
  <c r="Z37" i="77"/>
  <c r="J86" i="75"/>
  <c r="J87" i="75"/>
  <c r="J77" i="75"/>
  <c r="F64" i="75"/>
  <c r="F70" i="75" s="1"/>
  <c r="Q111" i="75"/>
  <c r="Q129" i="75" s="1"/>
  <c r="T64" i="75"/>
  <c r="T70" i="75" s="1"/>
  <c r="E44" i="75"/>
  <c r="E68" i="75" s="1"/>
  <c r="E81" i="75"/>
  <c r="Q64" i="75"/>
  <c r="Q70" i="75" s="1"/>
  <c r="J64" i="75"/>
  <c r="J70" i="75" s="1"/>
  <c r="N60" i="75"/>
  <c r="N64" i="75" s="1"/>
  <c r="N70" i="75" s="1"/>
  <c r="N31" i="75"/>
  <c r="N34" i="75" s="1"/>
  <c r="I44" i="75"/>
  <c r="J43" i="75"/>
  <c r="H33" i="75"/>
  <c r="H34" i="75"/>
  <c r="F34" i="75"/>
  <c r="F33" i="75"/>
  <c r="M80" i="75"/>
  <c r="M79" i="75"/>
  <c r="T33" i="75"/>
  <c r="T37" i="75"/>
  <c r="J125" i="75"/>
  <c r="J90" i="75"/>
  <c r="J75" i="75"/>
  <c r="J89" i="75"/>
  <c r="J76" i="75"/>
  <c r="J80" i="75"/>
  <c r="J96" i="75"/>
  <c r="J97" i="75" s="1"/>
  <c r="J102" i="75" s="1"/>
  <c r="J88" i="75"/>
  <c r="J42" i="75"/>
  <c r="J78" i="75"/>
  <c r="G56" i="75"/>
  <c r="G79" i="75" s="1"/>
  <c r="E71" i="75"/>
  <c r="N33" i="75"/>
  <c r="G44" i="75"/>
  <c r="Q34" i="75"/>
  <c r="Q37" i="75"/>
  <c r="J111" i="75"/>
  <c r="J129" i="75" s="1"/>
  <c r="I79" i="75"/>
  <c r="J79" i="75" s="1"/>
  <c r="N64" i="73"/>
  <c r="N70" i="73" s="1"/>
  <c r="N31" i="73"/>
  <c r="N37" i="73" s="1"/>
  <c r="T86" i="73" s="1"/>
  <c r="Q125" i="73"/>
  <c r="Q75" i="73"/>
  <c r="Q79" i="73"/>
  <c r="Q43" i="73"/>
  <c r="Q77" i="73"/>
  <c r="Q89" i="73"/>
  <c r="Q42" i="73"/>
  <c r="Q88" i="73"/>
  <c r="Q96" i="73"/>
  <c r="Q97" i="73" s="1"/>
  <c r="Q102" i="73" s="1"/>
  <c r="Q90" i="73"/>
  <c r="Q78" i="73"/>
  <c r="Q76" i="73"/>
  <c r="Q91" i="73"/>
  <c r="Q86" i="73"/>
  <c r="Q87" i="73"/>
  <c r="Q80" i="73"/>
  <c r="E69" i="73"/>
  <c r="H76" i="73"/>
  <c r="T64" i="73"/>
  <c r="T70" i="73" s="1"/>
  <c r="J64" i="73"/>
  <c r="J70" i="73" s="1"/>
  <c r="E44" i="73"/>
  <c r="E68" i="73" s="1"/>
  <c r="F64" i="73"/>
  <c r="F70" i="73" s="1"/>
  <c r="Q111" i="73"/>
  <c r="Q129" i="73" s="1"/>
  <c r="W64" i="73"/>
  <c r="W70" i="73" s="1"/>
  <c r="J75" i="73"/>
  <c r="J43" i="73"/>
  <c r="T87" i="73"/>
  <c r="T89" i="73"/>
  <c r="T79" i="73"/>
  <c r="T90" i="73"/>
  <c r="T76" i="73"/>
  <c r="T42" i="73"/>
  <c r="T77" i="73"/>
  <c r="T96" i="73"/>
  <c r="T97" i="73" s="1"/>
  <c r="T102" i="73" s="1"/>
  <c r="T80" i="73"/>
  <c r="T91" i="73"/>
  <c r="T78" i="73"/>
  <c r="T88" i="73"/>
  <c r="T125" i="73"/>
  <c r="Z77" i="73"/>
  <c r="Z81" i="73" s="1"/>
  <c r="Z127" i="73" s="1"/>
  <c r="Z43" i="73"/>
  <c r="Z91" i="73"/>
  <c r="Z42" i="73"/>
  <c r="Z88" i="73"/>
  <c r="Z78" i="73"/>
  <c r="Z80" i="73"/>
  <c r="H87" i="73"/>
  <c r="H89" i="73"/>
  <c r="H77" i="73"/>
  <c r="H125" i="73"/>
  <c r="H91" i="73"/>
  <c r="H90" i="73"/>
  <c r="H75" i="73"/>
  <c r="H96" i="73"/>
  <c r="H97" i="73" s="1"/>
  <c r="H102" i="73" s="1"/>
  <c r="H43" i="73"/>
  <c r="H79" i="73"/>
  <c r="G44" i="73"/>
  <c r="H42" i="73"/>
  <c r="H64" i="73"/>
  <c r="H70" i="73" s="1"/>
  <c r="Z64" i="73"/>
  <c r="Z70" i="73" s="1"/>
  <c r="N88" i="73"/>
  <c r="N91" i="73"/>
  <c r="N80" i="73"/>
  <c r="N125" i="73"/>
  <c r="N87" i="73"/>
  <c r="N77" i="73"/>
  <c r="F75" i="73"/>
  <c r="F88" i="73"/>
  <c r="F77" i="73"/>
  <c r="F43" i="73"/>
  <c r="F44" i="73" s="1"/>
  <c r="F87" i="73"/>
  <c r="F91" i="73"/>
  <c r="F80" i="73"/>
  <c r="F125" i="73"/>
  <c r="N42" i="73"/>
  <c r="E92" i="73"/>
  <c r="E101" i="73" s="1"/>
  <c r="G79" i="73"/>
  <c r="W87" i="73"/>
  <c r="W42" i="73"/>
  <c r="W44" i="73" s="1"/>
  <c r="W90" i="73"/>
  <c r="W86" i="73"/>
  <c r="W92" i="73" s="1"/>
  <c r="W101" i="73" s="1"/>
  <c r="W103" i="73" s="1"/>
  <c r="W128" i="73" s="1"/>
  <c r="W79" i="73"/>
  <c r="W78" i="73"/>
  <c r="W81" i="73" s="1"/>
  <c r="W127" i="73" s="1"/>
  <c r="W80" i="73"/>
  <c r="J53" i="73"/>
  <c r="J42" i="73"/>
  <c r="J44" i="73" s="1"/>
  <c r="J51" i="73" s="1"/>
  <c r="J49" i="73"/>
  <c r="J79" i="73"/>
  <c r="J90" i="73"/>
  <c r="J87" i="73"/>
  <c r="J50" i="73"/>
  <c r="J96" i="73"/>
  <c r="J97" i="73" s="1"/>
  <c r="J102" i="73" s="1"/>
  <c r="J77" i="73"/>
  <c r="J91" i="73"/>
  <c r="J88" i="73"/>
  <c r="J76" i="73"/>
  <c r="J54" i="73"/>
  <c r="N96" i="73"/>
  <c r="N97" i="73" s="1"/>
  <c r="N102" i="73" s="1"/>
  <c r="N90" i="73"/>
  <c r="H78" i="73"/>
  <c r="H88" i="73"/>
  <c r="F89" i="73"/>
  <c r="F79" i="73"/>
  <c r="E76" i="73"/>
  <c r="F76" i="73" s="1"/>
  <c r="J48" i="73"/>
  <c r="J125" i="73"/>
  <c r="J80" i="73"/>
  <c r="T43" i="73"/>
  <c r="N64" i="71"/>
  <c r="N70" i="71" s="1"/>
  <c r="L77" i="71"/>
  <c r="L75" i="71"/>
  <c r="L89" i="71"/>
  <c r="L87" i="71"/>
  <c r="L91" i="71"/>
  <c r="L80" i="71"/>
  <c r="L78" i="71"/>
  <c r="L76" i="71"/>
  <c r="L125" i="71"/>
  <c r="L90" i="71"/>
  <c r="L88" i="71"/>
  <c r="L86" i="71"/>
  <c r="L42" i="71"/>
  <c r="L43" i="71"/>
  <c r="K79" i="71"/>
  <c r="L79" i="71" s="1"/>
  <c r="K44" i="71"/>
  <c r="K80" i="71"/>
  <c r="Z88" i="71"/>
  <c r="Z43" i="71"/>
  <c r="Z90" i="71"/>
  <c r="Z89" i="71"/>
  <c r="Z91" i="71"/>
  <c r="Z76" i="71"/>
  <c r="Z42" i="71"/>
  <c r="Z44" i="71" s="1"/>
  <c r="Z54" i="71" s="1"/>
  <c r="Z77" i="71"/>
  <c r="Z75" i="71"/>
  <c r="Z79" i="71"/>
  <c r="Z78" i="71"/>
  <c r="Z80" i="71"/>
  <c r="Z96" i="71"/>
  <c r="Z97" i="71" s="1"/>
  <c r="Z102" i="71" s="1"/>
  <c r="Z86" i="71"/>
  <c r="Q87" i="71"/>
  <c r="Q80" i="71"/>
  <c r="Q88" i="71"/>
  <c r="Q90" i="71"/>
  <c r="Q75" i="71"/>
  <c r="Q125" i="71"/>
  <c r="Q89" i="71"/>
  <c r="Q77" i="71"/>
  <c r="Q86" i="71"/>
  <c r="Q76" i="71"/>
  <c r="Q78" i="71"/>
  <c r="Q42" i="71"/>
  <c r="Q44" i="71" s="1"/>
  <c r="Q52" i="71" s="1"/>
  <c r="Q91" i="71"/>
  <c r="Q43" i="71"/>
  <c r="Q96" i="71"/>
  <c r="Q97" i="71" s="1"/>
  <c r="Q102" i="71" s="1"/>
  <c r="Q79" i="71"/>
  <c r="H64" i="71"/>
  <c r="H70" i="71" s="1"/>
  <c r="J79" i="71"/>
  <c r="F80" i="71"/>
  <c r="W92" i="71"/>
  <c r="W101" i="71" s="1"/>
  <c r="W103" i="71" s="1"/>
  <c r="W128" i="71" s="1"/>
  <c r="F96" i="71"/>
  <c r="F97" i="71" s="1"/>
  <c r="F102" i="71" s="1"/>
  <c r="F91" i="71"/>
  <c r="E71" i="71"/>
  <c r="G79" i="71"/>
  <c r="H79" i="71" s="1"/>
  <c r="F111" i="71"/>
  <c r="F129" i="71" s="1"/>
  <c r="Z117" i="71"/>
  <c r="Z121" i="71" s="1"/>
  <c r="Z131" i="71" s="1"/>
  <c r="W43" i="71"/>
  <c r="W44" i="71" s="1"/>
  <c r="H78" i="71"/>
  <c r="N31" i="71"/>
  <c r="N37" i="71" s="1"/>
  <c r="L96" i="71" s="1"/>
  <c r="L97" i="71" s="1"/>
  <c r="L102" i="71" s="1"/>
  <c r="W80" i="71"/>
  <c r="W81" i="71" s="1"/>
  <c r="W127" i="71" s="1"/>
  <c r="Q53" i="71"/>
  <c r="Q68" i="71"/>
  <c r="Q50" i="71"/>
  <c r="Q49" i="71"/>
  <c r="Q51" i="71"/>
  <c r="Z50" i="71"/>
  <c r="Z52" i="71"/>
  <c r="Z53" i="71"/>
  <c r="E81" i="71"/>
  <c r="F90" i="71"/>
  <c r="F77" i="71"/>
  <c r="F125" i="71"/>
  <c r="F89" i="71"/>
  <c r="F92" i="71" s="1"/>
  <c r="F101" i="71" s="1"/>
  <c r="F103" i="71" s="1"/>
  <c r="F128" i="71" s="1"/>
  <c r="F88" i="71"/>
  <c r="F78" i="71"/>
  <c r="F43" i="71"/>
  <c r="H81" i="71"/>
  <c r="H127" i="71" s="1"/>
  <c r="F76" i="71"/>
  <c r="J50" i="71"/>
  <c r="F81" i="71"/>
  <c r="F127" i="71" s="1"/>
  <c r="H91" i="71"/>
  <c r="H80" i="71"/>
  <c r="H96" i="71"/>
  <c r="H97" i="71" s="1"/>
  <c r="H102" i="71" s="1"/>
  <c r="H86" i="71"/>
  <c r="H125" i="71"/>
  <c r="H76" i="71"/>
  <c r="H43" i="71"/>
  <c r="H44" i="71" s="1"/>
  <c r="T77" i="71"/>
  <c r="T79" i="71"/>
  <c r="T89" i="71"/>
  <c r="T42" i="71"/>
  <c r="T87" i="71"/>
  <c r="T125" i="71"/>
  <c r="T90" i="71"/>
  <c r="J49" i="71"/>
  <c r="J91" i="71"/>
  <c r="J75" i="71"/>
  <c r="J78" i="71"/>
  <c r="F42" i="71"/>
  <c r="J54" i="71"/>
  <c r="J125" i="71"/>
  <c r="J90" i="71"/>
  <c r="J76" i="71"/>
  <c r="J77" i="71"/>
  <c r="M80" i="71"/>
  <c r="J42" i="71"/>
  <c r="J44" i="71" s="1"/>
  <c r="J68" i="71" s="1"/>
  <c r="J53" i="71"/>
  <c r="J86" i="71"/>
  <c r="J89" i="71"/>
  <c r="J80" i="71"/>
  <c r="J48" i="71"/>
  <c r="J52" i="71"/>
  <c r="J87" i="71"/>
  <c r="J88" i="71"/>
  <c r="J50" i="83" l="1"/>
  <c r="J55" i="83"/>
  <c r="J51" i="83"/>
  <c r="J54" i="83"/>
  <c r="J79" i="83"/>
  <c r="N125" i="83"/>
  <c r="N91" i="83"/>
  <c r="N86" i="83"/>
  <c r="N80" i="83"/>
  <c r="N96" i="83"/>
  <c r="N97" i="83" s="1"/>
  <c r="N102" i="83" s="1"/>
  <c r="N79" i="83"/>
  <c r="N87" i="83"/>
  <c r="N89" i="83"/>
  <c r="N88" i="83"/>
  <c r="N76" i="83"/>
  <c r="N75" i="83"/>
  <c r="N42" i="83"/>
  <c r="N77" i="83"/>
  <c r="N90" i="83"/>
  <c r="N78" i="83"/>
  <c r="N43" i="83"/>
  <c r="Q78" i="83"/>
  <c r="Q88" i="83"/>
  <c r="Q87" i="83"/>
  <c r="Q91" i="83"/>
  <c r="Q79" i="83"/>
  <c r="Q42" i="83"/>
  <c r="Q77" i="83"/>
  <c r="Q125" i="83"/>
  <c r="Q80" i="83"/>
  <c r="Q86" i="83"/>
  <c r="Q96" i="83"/>
  <c r="Q97" i="83" s="1"/>
  <c r="Q102" i="83" s="1"/>
  <c r="Q75" i="83"/>
  <c r="Q90" i="83"/>
  <c r="Q89" i="83"/>
  <c r="Q76" i="83"/>
  <c r="Q43" i="83"/>
  <c r="J68" i="83"/>
  <c r="J52" i="83"/>
  <c r="J53" i="83"/>
  <c r="H87" i="83"/>
  <c r="H78" i="83"/>
  <c r="H90" i="83"/>
  <c r="H75" i="83"/>
  <c r="H42" i="83"/>
  <c r="H89" i="83"/>
  <c r="H80" i="83"/>
  <c r="H76" i="83"/>
  <c r="H86" i="83"/>
  <c r="H88" i="83"/>
  <c r="H91" i="83"/>
  <c r="H125" i="83"/>
  <c r="H79" i="83"/>
  <c r="H96" i="83"/>
  <c r="H97" i="83" s="1"/>
  <c r="H102" i="83" s="1"/>
  <c r="H77" i="83"/>
  <c r="F75" i="83"/>
  <c r="F91" i="83"/>
  <c r="F80" i="83"/>
  <c r="F76" i="83"/>
  <c r="F86" i="83"/>
  <c r="F78" i="83"/>
  <c r="F43" i="83"/>
  <c r="F89" i="83"/>
  <c r="F125" i="83"/>
  <c r="F96" i="83"/>
  <c r="F97" i="83" s="1"/>
  <c r="F102" i="83" s="1"/>
  <c r="F42" i="83"/>
  <c r="F88" i="83"/>
  <c r="F90" i="83"/>
  <c r="F77" i="83"/>
  <c r="F87" i="83"/>
  <c r="F79" i="83"/>
  <c r="J49" i="83"/>
  <c r="J81" i="83"/>
  <c r="J127" i="83" s="1"/>
  <c r="J48" i="83"/>
  <c r="H43" i="83"/>
  <c r="J81" i="81"/>
  <c r="J127" i="81" s="1"/>
  <c r="J92" i="81"/>
  <c r="J101" i="81" s="1"/>
  <c r="J53" i="81"/>
  <c r="H92" i="81"/>
  <c r="H101" i="81" s="1"/>
  <c r="H103" i="81" s="1"/>
  <c r="H128" i="81" s="1"/>
  <c r="F44" i="81"/>
  <c r="J55" i="81"/>
  <c r="J103" i="81"/>
  <c r="J128" i="81" s="1"/>
  <c r="J51" i="81"/>
  <c r="Q81" i="81"/>
  <c r="Q127" i="81" s="1"/>
  <c r="Q44" i="81"/>
  <c r="H81" i="81"/>
  <c r="H127" i="81" s="1"/>
  <c r="Q92" i="81"/>
  <c r="Q101" i="81" s="1"/>
  <c r="Q103" i="81" s="1"/>
  <c r="Q128" i="81" s="1"/>
  <c r="J68" i="81"/>
  <c r="J54" i="81"/>
  <c r="J50" i="81"/>
  <c r="N91" i="81"/>
  <c r="N96" i="81"/>
  <c r="N97" i="81" s="1"/>
  <c r="N102" i="81" s="1"/>
  <c r="N80" i="81"/>
  <c r="N86" i="81"/>
  <c r="N87" i="81"/>
  <c r="N76" i="81"/>
  <c r="N42" i="81"/>
  <c r="N44" i="81" s="1"/>
  <c r="N68" i="81" s="1"/>
  <c r="N90" i="81"/>
  <c r="N75" i="81"/>
  <c r="N125" i="81"/>
  <c r="N79" i="81"/>
  <c r="N77" i="81"/>
  <c r="N78" i="81"/>
  <c r="N88" i="81"/>
  <c r="N89" i="81"/>
  <c r="J49" i="81"/>
  <c r="J48" i="81"/>
  <c r="H44" i="81"/>
  <c r="T56" i="79"/>
  <c r="T69" i="79" s="1"/>
  <c r="T71" i="79" s="1"/>
  <c r="T126" i="79" s="1"/>
  <c r="N44" i="79"/>
  <c r="N52" i="79" s="1"/>
  <c r="F92" i="79"/>
  <c r="F101" i="79" s="1"/>
  <c r="F103" i="79" s="1"/>
  <c r="F128" i="79" s="1"/>
  <c r="N92" i="79"/>
  <c r="N101" i="79" s="1"/>
  <c r="N103" i="79" s="1"/>
  <c r="N128" i="79" s="1"/>
  <c r="H92" i="79"/>
  <c r="H101" i="79" s="1"/>
  <c r="H103" i="79" s="1"/>
  <c r="H128" i="79" s="1"/>
  <c r="T81" i="79"/>
  <c r="T127" i="79" s="1"/>
  <c r="T87" i="79"/>
  <c r="J50" i="79"/>
  <c r="J68" i="79"/>
  <c r="J49" i="79"/>
  <c r="J53" i="79"/>
  <c r="N68" i="79"/>
  <c r="N53" i="79"/>
  <c r="J54" i="79"/>
  <c r="W90" i="79"/>
  <c r="W79" i="79"/>
  <c r="W42" i="79"/>
  <c r="W44" i="79" s="1"/>
  <c r="W68" i="79" s="1"/>
  <c r="W87" i="79"/>
  <c r="W88" i="79"/>
  <c r="W76" i="79"/>
  <c r="W80" i="79"/>
  <c r="W75" i="79"/>
  <c r="W78" i="79"/>
  <c r="W77" i="79"/>
  <c r="W89" i="79"/>
  <c r="W96" i="79"/>
  <c r="W97" i="79" s="1"/>
  <c r="W102" i="79" s="1"/>
  <c r="W54" i="79"/>
  <c r="W125" i="79"/>
  <c r="J52" i="79"/>
  <c r="J55" i="79"/>
  <c r="J81" i="79"/>
  <c r="J127" i="79" s="1"/>
  <c r="T92" i="79"/>
  <c r="T101" i="79" s="1"/>
  <c r="T103" i="79" s="1"/>
  <c r="T128" i="79" s="1"/>
  <c r="F81" i="79"/>
  <c r="F127" i="79" s="1"/>
  <c r="Q52" i="79"/>
  <c r="N49" i="79"/>
  <c r="Q68" i="79"/>
  <c r="Q50" i="79"/>
  <c r="Q53" i="79"/>
  <c r="Q51" i="79"/>
  <c r="Q49" i="79"/>
  <c r="Q48" i="79"/>
  <c r="J92" i="79"/>
  <c r="J101" i="79" s="1"/>
  <c r="J103" i="79" s="1"/>
  <c r="J128" i="79" s="1"/>
  <c r="N55" i="79"/>
  <c r="Q81" i="79"/>
  <c r="Q127" i="79" s="1"/>
  <c r="Q103" i="79"/>
  <c r="Q128" i="79" s="1"/>
  <c r="J51" i="79"/>
  <c r="F50" i="79"/>
  <c r="F54" i="79"/>
  <c r="F53" i="79"/>
  <c r="F56" i="79" s="1"/>
  <c r="F69" i="79" s="1"/>
  <c r="F52" i="79"/>
  <c r="F68" i="79"/>
  <c r="N81" i="79"/>
  <c r="N127" i="79" s="1"/>
  <c r="N50" i="79"/>
  <c r="Q55" i="79"/>
  <c r="H44" i="79"/>
  <c r="H81" i="79"/>
  <c r="H127" i="79" s="1"/>
  <c r="W81" i="77"/>
  <c r="W127" i="77" s="1"/>
  <c r="H42" i="77"/>
  <c r="Q91" i="77"/>
  <c r="Q42" i="77"/>
  <c r="Q43" i="77"/>
  <c r="Q89" i="77"/>
  <c r="Q87" i="77"/>
  <c r="Q75" i="77"/>
  <c r="Q80" i="77"/>
  <c r="Q86" i="77"/>
  <c r="Q88" i="77"/>
  <c r="Q125" i="77"/>
  <c r="Q76" i="77"/>
  <c r="Q90" i="77"/>
  <c r="Q77" i="77"/>
  <c r="Q79" i="77"/>
  <c r="Q78" i="77"/>
  <c r="Q96" i="77"/>
  <c r="Q97" i="77" s="1"/>
  <c r="Q102" i="77" s="1"/>
  <c r="Z43" i="77"/>
  <c r="J96" i="77"/>
  <c r="J97" i="77" s="1"/>
  <c r="J102" i="77" s="1"/>
  <c r="J77" i="77"/>
  <c r="J87" i="77"/>
  <c r="J76" i="77"/>
  <c r="J86" i="77"/>
  <c r="Z86" i="77"/>
  <c r="J75" i="77"/>
  <c r="J80" i="77"/>
  <c r="J79" i="77"/>
  <c r="J78" i="77"/>
  <c r="J42" i="77"/>
  <c r="J44" i="77" s="1"/>
  <c r="J68" i="77" s="1"/>
  <c r="J89" i="77"/>
  <c r="J88" i="77"/>
  <c r="J91" i="77"/>
  <c r="J125" i="77"/>
  <c r="J43" i="77"/>
  <c r="J90" i="77"/>
  <c r="Z91" i="77"/>
  <c r="N91" i="77"/>
  <c r="N77" i="77"/>
  <c r="N86" i="77"/>
  <c r="N88" i="77"/>
  <c r="N76" i="77"/>
  <c r="N96" i="77"/>
  <c r="N97" i="77" s="1"/>
  <c r="N102" i="77" s="1"/>
  <c r="N87" i="77"/>
  <c r="N125" i="77"/>
  <c r="W43" i="77"/>
  <c r="W44" i="77" s="1"/>
  <c r="W86" i="77"/>
  <c r="N79" i="77"/>
  <c r="N78" i="77"/>
  <c r="N75" i="77"/>
  <c r="N90" i="77"/>
  <c r="N80" i="77"/>
  <c r="W91" i="77"/>
  <c r="N42" i="77"/>
  <c r="N43" i="77"/>
  <c r="N89" i="77"/>
  <c r="H44" i="77"/>
  <c r="H68" i="77" s="1"/>
  <c r="F76" i="77"/>
  <c r="F91" i="77"/>
  <c r="F75" i="77"/>
  <c r="F78" i="77"/>
  <c r="F96" i="77"/>
  <c r="F97" i="77" s="1"/>
  <c r="F102" i="77" s="1"/>
  <c r="F87" i="77"/>
  <c r="F43" i="77"/>
  <c r="F79" i="77"/>
  <c r="F42" i="77"/>
  <c r="F44" i="77" s="1"/>
  <c r="F68" i="77" s="1"/>
  <c r="F86" i="77"/>
  <c r="F52" i="77"/>
  <c r="F90" i="77"/>
  <c r="F80" i="77"/>
  <c r="F89" i="77"/>
  <c r="F77" i="77"/>
  <c r="F88" i="77"/>
  <c r="F125" i="77"/>
  <c r="Z42" i="77"/>
  <c r="Z44" i="77" s="1"/>
  <c r="Z68" i="77" s="1"/>
  <c r="Z125" i="77"/>
  <c r="Z78" i="77"/>
  <c r="Z96" i="77"/>
  <c r="Z97" i="77" s="1"/>
  <c r="Z102" i="77" s="1"/>
  <c r="Z76" i="77"/>
  <c r="Z77" i="77"/>
  <c r="Z89" i="77"/>
  <c r="Z87" i="77"/>
  <c r="Z80" i="77"/>
  <c r="Z90" i="77"/>
  <c r="Z88" i="77"/>
  <c r="Z53" i="77"/>
  <c r="Z79" i="77"/>
  <c r="Z75" i="77"/>
  <c r="T77" i="77"/>
  <c r="T90" i="77"/>
  <c r="T96" i="77"/>
  <c r="T97" i="77" s="1"/>
  <c r="T102" i="77" s="1"/>
  <c r="T89" i="77"/>
  <c r="T88" i="77"/>
  <c r="T79" i="77"/>
  <c r="T86" i="77"/>
  <c r="T42" i="77"/>
  <c r="T75" i="77"/>
  <c r="T78" i="77"/>
  <c r="T80" i="77"/>
  <c r="T43" i="77"/>
  <c r="T91" i="77"/>
  <c r="T76" i="77"/>
  <c r="H91" i="77"/>
  <c r="H80" i="77"/>
  <c r="H79" i="77"/>
  <c r="H86" i="77"/>
  <c r="H96" i="77"/>
  <c r="H97" i="77" s="1"/>
  <c r="H102" i="77" s="1"/>
  <c r="H54" i="77"/>
  <c r="H55" i="77"/>
  <c r="H125" i="77"/>
  <c r="H50" i="77"/>
  <c r="H77" i="77"/>
  <c r="H89" i="77"/>
  <c r="H49" i="77"/>
  <c r="H90" i="77"/>
  <c r="H76" i="77"/>
  <c r="H88" i="77"/>
  <c r="H75" i="77"/>
  <c r="H78" i="77"/>
  <c r="H52" i="77"/>
  <c r="H87" i="77"/>
  <c r="H48" i="77"/>
  <c r="H53" i="77"/>
  <c r="N37" i="75"/>
  <c r="L91" i="75" s="1"/>
  <c r="L92" i="75" s="1"/>
  <c r="L101" i="75" s="1"/>
  <c r="L103" i="75" s="1"/>
  <c r="L128" i="75" s="1"/>
  <c r="L130" i="75" s="1"/>
  <c r="H37" i="75"/>
  <c r="H42" i="75" s="1"/>
  <c r="J44" i="75"/>
  <c r="F37" i="75"/>
  <c r="F78" i="75" s="1"/>
  <c r="F87" i="75"/>
  <c r="F79" i="75"/>
  <c r="F88" i="75"/>
  <c r="F43" i="75"/>
  <c r="F86" i="75"/>
  <c r="F80" i="75"/>
  <c r="F75" i="75"/>
  <c r="F89" i="75"/>
  <c r="N42" i="75"/>
  <c r="J91" i="75"/>
  <c r="N90" i="75"/>
  <c r="T43" i="75"/>
  <c r="N89" i="75"/>
  <c r="N79" i="75"/>
  <c r="N88" i="75"/>
  <c r="T91" i="75"/>
  <c r="N125" i="75"/>
  <c r="N77" i="75"/>
  <c r="N43" i="75"/>
  <c r="J92" i="75"/>
  <c r="J101" i="75" s="1"/>
  <c r="J103" i="75" s="1"/>
  <c r="J128" i="75" s="1"/>
  <c r="J68" i="75"/>
  <c r="J49" i="75"/>
  <c r="J54" i="75"/>
  <c r="T80" i="75"/>
  <c r="T77" i="75"/>
  <c r="T76" i="75"/>
  <c r="T42" i="75"/>
  <c r="T89" i="75"/>
  <c r="T78" i="75"/>
  <c r="T79" i="75"/>
  <c r="T87" i="75"/>
  <c r="T75" i="75"/>
  <c r="T88" i="75"/>
  <c r="T125" i="75"/>
  <c r="T96" i="75"/>
  <c r="T97" i="75" s="1"/>
  <c r="T102" i="75" s="1"/>
  <c r="T90" i="75"/>
  <c r="H88" i="75"/>
  <c r="H125" i="75"/>
  <c r="H86" i="75"/>
  <c r="H75" i="75"/>
  <c r="H79" i="75"/>
  <c r="H43" i="75"/>
  <c r="H96" i="75"/>
  <c r="H97" i="75" s="1"/>
  <c r="H102" i="75" s="1"/>
  <c r="H76" i="75"/>
  <c r="H89" i="75"/>
  <c r="H78" i="75"/>
  <c r="H80" i="75"/>
  <c r="H77" i="75"/>
  <c r="H91" i="75"/>
  <c r="H90" i="75"/>
  <c r="H87" i="75"/>
  <c r="Q96" i="75"/>
  <c r="Q97" i="75" s="1"/>
  <c r="Q102" i="75" s="1"/>
  <c r="Q42" i="75"/>
  <c r="Q75" i="75"/>
  <c r="Q125" i="75"/>
  <c r="Q78" i="75"/>
  <c r="Q79" i="75"/>
  <c r="Q89" i="75"/>
  <c r="Q80" i="75"/>
  <c r="Q86" i="75"/>
  <c r="Q88" i="75"/>
  <c r="Q43" i="75"/>
  <c r="Q76" i="75"/>
  <c r="Q87" i="75"/>
  <c r="Q77" i="75"/>
  <c r="Q90" i="75"/>
  <c r="H44" i="75"/>
  <c r="H54" i="75" s="1"/>
  <c r="J52" i="75"/>
  <c r="J55" i="75"/>
  <c r="J81" i="75"/>
  <c r="J127" i="75" s="1"/>
  <c r="N79" i="73"/>
  <c r="N89" i="73"/>
  <c r="N43" i="73"/>
  <c r="N44" i="73" s="1"/>
  <c r="N86" i="73"/>
  <c r="N78" i="73"/>
  <c r="N76" i="73"/>
  <c r="N75" i="73"/>
  <c r="F48" i="73"/>
  <c r="F53" i="73"/>
  <c r="F51" i="73"/>
  <c r="F50" i="73"/>
  <c r="F54" i="73"/>
  <c r="F92" i="73"/>
  <c r="F101" i="73" s="1"/>
  <c r="F103" i="73" s="1"/>
  <c r="F128" i="73" s="1"/>
  <c r="Q92" i="73"/>
  <c r="Q101" i="73" s="1"/>
  <c r="Q103" i="73" s="1"/>
  <c r="Q128" i="73" s="1"/>
  <c r="N92" i="73"/>
  <c r="N101" i="73" s="1"/>
  <c r="N103" i="73" s="1"/>
  <c r="N128" i="73" s="1"/>
  <c r="J92" i="73"/>
  <c r="J101" i="73" s="1"/>
  <c r="J103" i="73" s="1"/>
  <c r="J128" i="73" s="1"/>
  <c r="H92" i="73"/>
  <c r="H101" i="73" s="1"/>
  <c r="H103" i="73" s="1"/>
  <c r="H128" i="73" s="1"/>
  <c r="T81" i="73"/>
  <c r="T127" i="73" s="1"/>
  <c r="Q44" i="73"/>
  <c r="E71" i="73"/>
  <c r="Q81" i="73"/>
  <c r="Q127" i="73" s="1"/>
  <c r="E81" i="73"/>
  <c r="N81" i="73"/>
  <c r="N127" i="73" s="1"/>
  <c r="T92" i="73"/>
  <c r="T101" i="73" s="1"/>
  <c r="T103" i="73" s="1"/>
  <c r="T128" i="73" s="1"/>
  <c r="H81" i="73"/>
  <c r="H127" i="73" s="1"/>
  <c r="T44" i="73"/>
  <c r="H44" i="73"/>
  <c r="Z44" i="73"/>
  <c r="W68" i="73"/>
  <c r="W56" i="73"/>
  <c r="W69" i="73" s="1"/>
  <c r="F81" i="73"/>
  <c r="F127" i="73" s="1"/>
  <c r="J81" i="73"/>
  <c r="J127" i="73" s="1"/>
  <c r="J52" i="73"/>
  <c r="J68" i="73"/>
  <c r="J55" i="73"/>
  <c r="F68" i="73"/>
  <c r="F52" i="73"/>
  <c r="F55" i="73"/>
  <c r="F49" i="73"/>
  <c r="L92" i="71"/>
  <c r="L101" i="71" s="1"/>
  <c r="L103" i="71" s="1"/>
  <c r="L128" i="71" s="1"/>
  <c r="L44" i="71"/>
  <c r="L81" i="71"/>
  <c r="L127" i="71" s="1"/>
  <c r="L50" i="71"/>
  <c r="L51" i="71"/>
  <c r="L49" i="71"/>
  <c r="W68" i="71"/>
  <c r="W71" i="71" s="1"/>
  <c r="W126" i="71" s="1"/>
  <c r="W130" i="71" s="1"/>
  <c r="W115" i="71" s="1"/>
  <c r="W56" i="71"/>
  <c r="W69" i="71" s="1"/>
  <c r="N89" i="71"/>
  <c r="N88" i="71"/>
  <c r="N87" i="71"/>
  <c r="N86" i="71"/>
  <c r="N42" i="71"/>
  <c r="N96" i="71"/>
  <c r="N97" i="71" s="1"/>
  <c r="N102" i="71" s="1"/>
  <c r="N76" i="71"/>
  <c r="N79" i="71"/>
  <c r="N78" i="71"/>
  <c r="N77" i="71"/>
  <c r="N43" i="71"/>
  <c r="N75" i="71"/>
  <c r="N81" i="71" s="1"/>
  <c r="N127" i="71" s="1"/>
  <c r="T43" i="71"/>
  <c r="J96" i="71"/>
  <c r="J97" i="71" s="1"/>
  <c r="J102" i="71" s="1"/>
  <c r="N125" i="71"/>
  <c r="N90" i="71"/>
  <c r="T86" i="71"/>
  <c r="T92" i="71" s="1"/>
  <c r="T101" i="71" s="1"/>
  <c r="T103" i="71" s="1"/>
  <c r="T128" i="71" s="1"/>
  <c r="N91" i="71"/>
  <c r="N80" i="71"/>
  <c r="Q92" i="71"/>
  <c r="Q101" i="71" s="1"/>
  <c r="Q103" i="71" s="1"/>
  <c r="Q128" i="71" s="1"/>
  <c r="J92" i="71"/>
  <c r="J101" i="71" s="1"/>
  <c r="T81" i="71"/>
  <c r="T127" i="71" s="1"/>
  <c r="Z49" i="71"/>
  <c r="Z56" i="71" s="1"/>
  <c r="Z69" i="71" s="1"/>
  <c r="Z71" i="71" s="1"/>
  <c r="Z55" i="71"/>
  <c r="F44" i="71"/>
  <c r="F53" i="71" s="1"/>
  <c r="T44" i="71"/>
  <c r="T68" i="71" s="1"/>
  <c r="Z68" i="71"/>
  <c r="Z51" i="71"/>
  <c r="Q48" i="71"/>
  <c r="Q55" i="71"/>
  <c r="Q56" i="71" s="1"/>
  <c r="Q69" i="71" s="1"/>
  <c r="Q71" i="71" s="1"/>
  <c r="Q126" i="71" s="1"/>
  <c r="Q130" i="71" s="1"/>
  <c r="Z81" i="71"/>
  <c r="Z127" i="71" s="1"/>
  <c r="Z48" i="71"/>
  <c r="Q54" i="71"/>
  <c r="Q81" i="71"/>
  <c r="Q127" i="71" s="1"/>
  <c r="H68" i="71"/>
  <c r="H50" i="71"/>
  <c r="H49" i="71"/>
  <c r="H48" i="71"/>
  <c r="H54" i="71"/>
  <c r="H51" i="71"/>
  <c r="H53" i="71"/>
  <c r="H52" i="71"/>
  <c r="H55" i="71"/>
  <c r="N92" i="71"/>
  <c r="N101" i="71" s="1"/>
  <c r="N103" i="71" s="1"/>
  <c r="N128" i="71" s="1"/>
  <c r="F49" i="71"/>
  <c r="F68" i="71"/>
  <c r="F54" i="71"/>
  <c r="F52" i="71"/>
  <c r="F55" i="71"/>
  <c r="F50" i="71"/>
  <c r="J55" i="71"/>
  <c r="N44" i="71"/>
  <c r="J81" i="71"/>
  <c r="J127" i="71" s="1"/>
  <c r="J51" i="71"/>
  <c r="J56" i="71" s="1"/>
  <c r="J69" i="71" s="1"/>
  <c r="J71" i="71" s="1"/>
  <c r="J126" i="71" s="1"/>
  <c r="H92" i="71"/>
  <c r="H101" i="71" s="1"/>
  <c r="H103" i="71" s="1"/>
  <c r="H128" i="71" s="1"/>
  <c r="F48" i="71"/>
  <c r="H44" i="83" l="1"/>
  <c r="H92" i="83"/>
  <c r="H101" i="83" s="1"/>
  <c r="H103" i="83" s="1"/>
  <c r="H128" i="83" s="1"/>
  <c r="F81" i="83"/>
  <c r="F127" i="83" s="1"/>
  <c r="H49" i="83"/>
  <c r="H52" i="83"/>
  <c r="H81" i="83"/>
  <c r="H127" i="83" s="1"/>
  <c r="Q92" i="83"/>
  <c r="Q101" i="83" s="1"/>
  <c r="Q103" i="83" s="1"/>
  <c r="Q128" i="83" s="1"/>
  <c r="N44" i="83"/>
  <c r="F92" i="83"/>
  <c r="F101" i="83" s="1"/>
  <c r="F103" i="83" s="1"/>
  <c r="F128" i="83" s="1"/>
  <c r="H53" i="83"/>
  <c r="H48" i="83"/>
  <c r="N81" i="83"/>
  <c r="N127" i="83" s="1"/>
  <c r="N92" i="83"/>
  <c r="N101" i="83" s="1"/>
  <c r="N103" i="83" s="1"/>
  <c r="N128" i="83" s="1"/>
  <c r="J56" i="83"/>
  <c r="J69" i="83" s="1"/>
  <c r="J71" i="83" s="1"/>
  <c r="J126" i="83" s="1"/>
  <c r="J130" i="83" s="1"/>
  <c r="F44" i="83"/>
  <c r="H51" i="83"/>
  <c r="H50" i="83"/>
  <c r="H55" i="83"/>
  <c r="Q81" i="83"/>
  <c r="Q127" i="83" s="1"/>
  <c r="Q44" i="83"/>
  <c r="N51" i="81"/>
  <c r="N49" i="81"/>
  <c r="N53" i="81"/>
  <c r="F49" i="81"/>
  <c r="F68" i="81"/>
  <c r="F48" i="81"/>
  <c r="F55" i="81"/>
  <c r="F52" i="81"/>
  <c r="F51" i="81"/>
  <c r="F53" i="81"/>
  <c r="F50" i="81"/>
  <c r="F54" i="81"/>
  <c r="N52" i="81"/>
  <c r="N92" i="81"/>
  <c r="N101" i="81" s="1"/>
  <c r="N103" i="81" s="1"/>
  <c r="N128" i="81" s="1"/>
  <c r="H68" i="81"/>
  <c r="H50" i="81"/>
  <c r="H51" i="81"/>
  <c r="H54" i="81"/>
  <c r="H53" i="81"/>
  <c r="H49" i="81"/>
  <c r="H52" i="81"/>
  <c r="H55" i="81"/>
  <c r="H48" i="81"/>
  <c r="N81" i="81"/>
  <c r="N127" i="81" s="1"/>
  <c r="Q68" i="81"/>
  <c r="Q51" i="81"/>
  <c r="Q54" i="81"/>
  <c r="Q48" i="81"/>
  <c r="Q50" i="81"/>
  <c r="Q55" i="81"/>
  <c r="Q49" i="81"/>
  <c r="Q53" i="81"/>
  <c r="Q52" i="81"/>
  <c r="J56" i="81"/>
  <c r="J69" i="81" s="1"/>
  <c r="J71" i="81" s="1"/>
  <c r="J126" i="81" s="1"/>
  <c r="J130" i="81" s="1"/>
  <c r="N50" i="81"/>
  <c r="N55" i="81"/>
  <c r="N48" i="81"/>
  <c r="N54" i="81"/>
  <c r="N48" i="79"/>
  <c r="N51" i="79"/>
  <c r="N54" i="79"/>
  <c r="N56" i="79" s="1"/>
  <c r="N69" i="79" s="1"/>
  <c r="N71" i="79" s="1"/>
  <c r="N126" i="79" s="1"/>
  <c r="N130" i="79" s="1"/>
  <c r="W51" i="79"/>
  <c r="W48" i="79"/>
  <c r="W92" i="79"/>
  <c r="W101" i="79" s="1"/>
  <c r="W103" i="79" s="1"/>
  <c r="W128" i="79" s="1"/>
  <c r="J56" i="79"/>
  <c r="J69" i="79" s="1"/>
  <c r="Q56" i="79"/>
  <c r="Q69" i="79" s="1"/>
  <c r="Q71" i="79" s="1"/>
  <c r="Q126" i="79" s="1"/>
  <c r="Q130" i="79" s="1"/>
  <c r="W49" i="79"/>
  <c r="F71" i="79"/>
  <c r="F126" i="79" s="1"/>
  <c r="F130" i="79" s="1"/>
  <c r="E137" i="45"/>
  <c r="T143" i="79"/>
  <c r="T144" i="79" s="1"/>
  <c r="W50" i="79"/>
  <c r="W81" i="79"/>
  <c r="W127" i="79" s="1"/>
  <c r="W52" i="79"/>
  <c r="H68" i="79"/>
  <c r="H52" i="79"/>
  <c r="H55" i="79"/>
  <c r="H48" i="79"/>
  <c r="H50" i="79"/>
  <c r="H51" i="79"/>
  <c r="H49" i="79"/>
  <c r="H54" i="79"/>
  <c r="H53" i="79"/>
  <c r="W55" i="79"/>
  <c r="W53" i="79"/>
  <c r="J71" i="79"/>
  <c r="J126" i="79" s="1"/>
  <c r="J130" i="79" s="1"/>
  <c r="Z52" i="77"/>
  <c r="F53" i="77"/>
  <c r="F54" i="77"/>
  <c r="N44" i="77"/>
  <c r="N81" i="77"/>
  <c r="N127" i="77" s="1"/>
  <c r="Q92" i="77"/>
  <c r="Q101" i="77" s="1"/>
  <c r="Q103" i="77" s="1"/>
  <c r="Q128" i="77" s="1"/>
  <c r="Z49" i="77"/>
  <c r="F55" i="77"/>
  <c r="J50" i="77"/>
  <c r="W53" i="77"/>
  <c r="W51" i="77"/>
  <c r="W50" i="77"/>
  <c r="W68" i="77"/>
  <c r="W49" i="77"/>
  <c r="W54" i="77"/>
  <c r="W55" i="77"/>
  <c r="W52" i="77"/>
  <c r="W48" i="77"/>
  <c r="Z92" i="77"/>
  <c r="Z101" i="77" s="1"/>
  <c r="Z103" i="77" s="1"/>
  <c r="Z128" i="77" s="1"/>
  <c r="T81" i="77"/>
  <c r="T127" i="77" s="1"/>
  <c r="Z81" i="77"/>
  <c r="Z127" i="77" s="1"/>
  <c r="Z55" i="77"/>
  <c r="Z48" i="77"/>
  <c r="F92" i="77"/>
  <c r="F101" i="77" s="1"/>
  <c r="F103" i="77" s="1"/>
  <c r="F128" i="77" s="1"/>
  <c r="F81" i="77"/>
  <c r="F127" i="77" s="1"/>
  <c r="N51" i="77"/>
  <c r="J54" i="77"/>
  <c r="J49" i="77"/>
  <c r="H56" i="77"/>
  <c r="H69" i="77" s="1"/>
  <c r="H81" i="77"/>
  <c r="H127" i="77" s="1"/>
  <c r="T44" i="77"/>
  <c r="Z54" i="77"/>
  <c r="Z50" i="77"/>
  <c r="F48" i="77"/>
  <c r="H71" i="77"/>
  <c r="H126" i="77" s="1"/>
  <c r="N92" i="77"/>
  <c r="N101" i="77" s="1"/>
  <c r="N103" i="77" s="1"/>
  <c r="N128" i="77" s="1"/>
  <c r="J52" i="77"/>
  <c r="J48" i="77"/>
  <c r="J92" i="77"/>
  <c r="J101" i="77" s="1"/>
  <c r="J103" i="77" s="1"/>
  <c r="J128" i="77" s="1"/>
  <c r="Q81" i="77"/>
  <c r="Q127" i="77" s="1"/>
  <c r="Q44" i="77"/>
  <c r="H51" i="77"/>
  <c r="H92" i="77"/>
  <c r="H101" i="77" s="1"/>
  <c r="H103" i="77" s="1"/>
  <c r="H128" i="77" s="1"/>
  <c r="Z51" i="77"/>
  <c r="F50" i="77"/>
  <c r="F49" i="77"/>
  <c r="F51" i="77"/>
  <c r="N53" i="77"/>
  <c r="W92" i="77"/>
  <c r="W101" i="77" s="1"/>
  <c r="W103" i="77" s="1"/>
  <c r="W128" i="77" s="1"/>
  <c r="J55" i="77"/>
  <c r="J53" i="77"/>
  <c r="J51" i="77"/>
  <c r="J81" i="77"/>
  <c r="J127" i="77" s="1"/>
  <c r="T44" i="75"/>
  <c r="T68" i="75" s="1"/>
  <c r="L115" i="75"/>
  <c r="L132" i="75" s="1"/>
  <c r="L116" i="75"/>
  <c r="N91" i="75"/>
  <c r="T86" i="75"/>
  <c r="N76" i="75"/>
  <c r="N80" i="75"/>
  <c r="N87" i="75"/>
  <c r="N86" i="75"/>
  <c r="N96" i="75"/>
  <c r="N97" i="75" s="1"/>
  <c r="N102" i="75" s="1"/>
  <c r="Q91" i="75"/>
  <c r="N75" i="75"/>
  <c r="N78" i="75"/>
  <c r="T54" i="75"/>
  <c r="H53" i="75"/>
  <c r="T81" i="75"/>
  <c r="T127" i="75" s="1"/>
  <c r="F77" i="75"/>
  <c r="F96" i="75"/>
  <c r="F97" i="75" s="1"/>
  <c r="F102" i="75" s="1"/>
  <c r="F91" i="75"/>
  <c r="F125" i="75"/>
  <c r="J53" i="75"/>
  <c r="J51" i="75"/>
  <c r="J48" i="75"/>
  <c r="J56" i="75" s="1"/>
  <c r="J69" i="75" s="1"/>
  <c r="J71" i="75" s="1"/>
  <c r="J126" i="75" s="1"/>
  <c r="J130" i="75" s="1"/>
  <c r="J50" i="75"/>
  <c r="F42" i="75"/>
  <c r="F76" i="75"/>
  <c r="F90" i="75"/>
  <c r="H92" i="75"/>
  <c r="H101" i="75" s="1"/>
  <c r="H103" i="75" s="1"/>
  <c r="H128" i="75" s="1"/>
  <c r="T51" i="75"/>
  <c r="T48" i="75"/>
  <c r="T49" i="75"/>
  <c r="F81" i="75"/>
  <c r="F127" i="75" s="1"/>
  <c r="T92" i="75"/>
  <c r="T101" i="75" s="1"/>
  <c r="T103" i="75" s="1"/>
  <c r="T128" i="75" s="1"/>
  <c r="H68" i="75"/>
  <c r="H50" i="75"/>
  <c r="Q81" i="75"/>
  <c r="Q127" i="75" s="1"/>
  <c r="H49" i="75"/>
  <c r="H48" i="75"/>
  <c r="H55" i="75"/>
  <c r="T55" i="75"/>
  <c r="Q92" i="75"/>
  <c r="Q101" i="75" s="1"/>
  <c r="Q103" i="75" s="1"/>
  <c r="Q128" i="75" s="1"/>
  <c r="Q44" i="75"/>
  <c r="H52" i="75"/>
  <c r="H51" i="75"/>
  <c r="H81" i="75"/>
  <c r="H127" i="75" s="1"/>
  <c r="T52" i="75"/>
  <c r="N92" i="75"/>
  <c r="N101" i="75" s="1"/>
  <c r="N81" i="75"/>
  <c r="N127" i="75" s="1"/>
  <c r="N44" i="75"/>
  <c r="F44" i="75"/>
  <c r="F92" i="75"/>
  <c r="F101" i="75" s="1"/>
  <c r="F103" i="75" s="1"/>
  <c r="F128" i="75" s="1"/>
  <c r="N52" i="73"/>
  <c r="N49" i="73"/>
  <c r="N50" i="73"/>
  <c r="N56" i="73" s="1"/>
  <c r="N69" i="73" s="1"/>
  <c r="N71" i="73" s="1"/>
  <c r="N126" i="73" s="1"/>
  <c r="N130" i="73" s="1"/>
  <c r="N51" i="73"/>
  <c r="N53" i="73"/>
  <c r="N55" i="73"/>
  <c r="N68" i="73"/>
  <c r="N54" i="73"/>
  <c r="N48" i="73"/>
  <c r="Q68" i="73"/>
  <c r="Q52" i="73"/>
  <c r="Q51" i="73"/>
  <c r="Q53" i="73"/>
  <c r="Q50" i="73"/>
  <c r="Q48" i="73"/>
  <c r="Q55" i="73"/>
  <c r="Q49" i="73"/>
  <c r="Q54" i="73"/>
  <c r="F56" i="73"/>
  <c r="F69" i="73" s="1"/>
  <c r="J56" i="73"/>
  <c r="J69" i="73" s="1"/>
  <c r="J71" i="73" s="1"/>
  <c r="J126" i="73" s="1"/>
  <c r="J130" i="73" s="1"/>
  <c r="T52" i="73"/>
  <c r="T48" i="73"/>
  <c r="T50" i="73"/>
  <c r="T68" i="73"/>
  <c r="T53" i="73"/>
  <c r="T55" i="73"/>
  <c r="T51" i="73"/>
  <c r="T54" i="73"/>
  <c r="T49" i="73"/>
  <c r="Z50" i="73"/>
  <c r="Z48" i="73"/>
  <c r="Z68" i="73"/>
  <c r="Z55" i="73"/>
  <c r="Z51" i="73"/>
  <c r="Z52" i="73"/>
  <c r="Z54" i="73"/>
  <c r="Z53" i="73"/>
  <c r="Z49" i="73"/>
  <c r="W71" i="73"/>
  <c r="W126" i="73" s="1"/>
  <c r="W130" i="73" s="1"/>
  <c r="F71" i="73"/>
  <c r="F126" i="73" s="1"/>
  <c r="F130" i="73" s="1"/>
  <c r="H68" i="73"/>
  <c r="H55" i="73"/>
  <c r="H50" i="73"/>
  <c r="H54" i="73"/>
  <c r="H52" i="73"/>
  <c r="H49" i="73"/>
  <c r="H53" i="73"/>
  <c r="H51" i="73"/>
  <c r="H48" i="73"/>
  <c r="T49" i="71"/>
  <c r="T51" i="71"/>
  <c r="L68" i="71"/>
  <c r="L55" i="71"/>
  <c r="L52" i="71"/>
  <c r="L54" i="71"/>
  <c r="L53" i="71"/>
  <c r="L48" i="71"/>
  <c r="W132" i="71"/>
  <c r="W119" i="71" s="1"/>
  <c r="T54" i="71"/>
  <c r="T53" i="71"/>
  <c r="W116" i="71"/>
  <c r="J103" i="71"/>
  <c r="J128" i="71" s="1"/>
  <c r="J130" i="71" s="1"/>
  <c r="J115" i="71" s="1"/>
  <c r="T48" i="71"/>
  <c r="T52" i="71"/>
  <c r="T55" i="71"/>
  <c r="T50" i="71"/>
  <c r="F51" i="71"/>
  <c r="Z126" i="71"/>
  <c r="Z87" i="71"/>
  <c r="Z92" i="71" s="1"/>
  <c r="Z101" i="71" s="1"/>
  <c r="Z103" i="71" s="1"/>
  <c r="Z128" i="71" s="1"/>
  <c r="Q115" i="71"/>
  <c r="Q116" i="71"/>
  <c r="H56" i="71"/>
  <c r="H69" i="71" s="1"/>
  <c r="H71" i="71" s="1"/>
  <c r="H126" i="71" s="1"/>
  <c r="H130" i="71" s="1"/>
  <c r="W118" i="71"/>
  <c r="F56" i="71"/>
  <c r="F69" i="71" s="1"/>
  <c r="F71" i="71" s="1"/>
  <c r="F126" i="71" s="1"/>
  <c r="F130" i="71" s="1"/>
  <c r="N68" i="71"/>
  <c r="N54" i="71"/>
  <c r="N50" i="71"/>
  <c r="N51" i="71"/>
  <c r="N52" i="71"/>
  <c r="N49" i="71"/>
  <c r="N53" i="71"/>
  <c r="N48" i="71"/>
  <c r="N55" i="71"/>
  <c r="H68" i="83" l="1"/>
  <c r="H54" i="83"/>
  <c r="J115" i="83"/>
  <c r="J116" i="83"/>
  <c r="J132" i="83" s="1"/>
  <c r="Q68" i="83"/>
  <c r="Q52" i="83"/>
  <c r="Q54" i="83"/>
  <c r="Q53" i="83"/>
  <c r="Q49" i="83"/>
  <c r="Q48" i="83"/>
  <c r="Q50" i="83"/>
  <c r="Q55" i="83"/>
  <c r="Q51" i="83"/>
  <c r="N68" i="83"/>
  <c r="N53" i="83"/>
  <c r="N52" i="83"/>
  <c r="N50" i="83"/>
  <c r="N51" i="83"/>
  <c r="N55" i="83"/>
  <c r="N54" i="83"/>
  <c r="N48" i="83"/>
  <c r="N49" i="83"/>
  <c r="F68" i="83"/>
  <c r="F52" i="83"/>
  <c r="F48" i="83"/>
  <c r="F49" i="83"/>
  <c r="F54" i="83"/>
  <c r="F51" i="83"/>
  <c r="F50" i="83"/>
  <c r="F53" i="83"/>
  <c r="F55" i="83"/>
  <c r="H56" i="83"/>
  <c r="H69" i="83" s="1"/>
  <c r="H71" i="83" s="1"/>
  <c r="H126" i="83" s="1"/>
  <c r="H130" i="83" s="1"/>
  <c r="N56" i="81"/>
  <c r="N69" i="81" s="1"/>
  <c r="N71" i="81" s="1"/>
  <c r="N126" i="81" s="1"/>
  <c r="N130" i="81" s="1"/>
  <c r="F56" i="81"/>
  <c r="F69" i="81" s="1"/>
  <c r="F71" i="81" s="1"/>
  <c r="F126" i="81" s="1"/>
  <c r="F130" i="81" s="1"/>
  <c r="Q56" i="81"/>
  <c r="Q69" i="81" s="1"/>
  <c r="Q71" i="81" s="1"/>
  <c r="Q126" i="81" s="1"/>
  <c r="Q130" i="81" s="1"/>
  <c r="J115" i="81"/>
  <c r="J116" i="81"/>
  <c r="J132" i="81" s="1"/>
  <c r="H56" i="81"/>
  <c r="H69" i="81" s="1"/>
  <c r="H71" i="81"/>
  <c r="H126" i="81" s="1"/>
  <c r="H130" i="81" s="1"/>
  <c r="W56" i="79"/>
  <c r="W69" i="79" s="1"/>
  <c r="W71" i="79" s="1"/>
  <c r="W126" i="79" s="1"/>
  <c r="W130" i="79" s="1"/>
  <c r="W132" i="79" s="1"/>
  <c r="W115" i="79"/>
  <c r="W116" i="79"/>
  <c r="Q115" i="79"/>
  <c r="F115" i="79"/>
  <c r="H56" i="79"/>
  <c r="H69" i="79" s="1"/>
  <c r="J115" i="79"/>
  <c r="H71" i="79"/>
  <c r="H126" i="79" s="1"/>
  <c r="H130" i="79" s="1"/>
  <c r="N115" i="79"/>
  <c r="N116" i="79" s="1"/>
  <c r="N132" i="79" s="1"/>
  <c r="N68" i="77"/>
  <c r="N55" i="77"/>
  <c r="N48" i="77"/>
  <c r="N49" i="77"/>
  <c r="N50" i="77"/>
  <c r="N52" i="77"/>
  <c r="H130" i="77"/>
  <c r="H115" i="77" s="1"/>
  <c r="H116" i="77" s="1"/>
  <c r="N54" i="77"/>
  <c r="J56" i="77"/>
  <c r="J69" i="77" s="1"/>
  <c r="J71" i="77" s="1"/>
  <c r="J126" i="77" s="1"/>
  <c r="J130" i="77" s="1"/>
  <c r="F56" i="77"/>
  <c r="F69" i="77" s="1"/>
  <c r="F71" i="77" s="1"/>
  <c r="F126" i="77" s="1"/>
  <c r="F130" i="77" s="1"/>
  <c r="Q68" i="77"/>
  <c r="Q50" i="77"/>
  <c r="Q48" i="77"/>
  <c r="Q55" i="77"/>
  <c r="Q51" i="77"/>
  <c r="Q54" i="77"/>
  <c r="Q53" i="77"/>
  <c r="Q52" i="77"/>
  <c r="Q49" i="77"/>
  <c r="T68" i="77"/>
  <c r="T54" i="77"/>
  <c r="T52" i="77"/>
  <c r="T51" i="77"/>
  <c r="T50" i="77"/>
  <c r="T49" i="77"/>
  <c r="T53" i="77"/>
  <c r="T55" i="77"/>
  <c r="T48" i="77"/>
  <c r="Z56" i="77"/>
  <c r="Z69" i="77" s="1"/>
  <c r="Z71" i="77" s="1"/>
  <c r="Z126" i="77" s="1"/>
  <c r="Z130" i="77" s="1"/>
  <c r="W56" i="77"/>
  <c r="W69" i="77" s="1"/>
  <c r="W71" i="77" s="1"/>
  <c r="W126" i="77" s="1"/>
  <c r="W130" i="77" s="1"/>
  <c r="L119" i="75"/>
  <c r="L118" i="75"/>
  <c r="N103" i="75"/>
  <c r="N128" i="75" s="1"/>
  <c r="T53" i="75"/>
  <c r="T50" i="75"/>
  <c r="N68" i="75"/>
  <c r="N54" i="75"/>
  <c r="N49" i="75"/>
  <c r="N51" i="75"/>
  <c r="N55" i="75"/>
  <c r="N48" i="75"/>
  <c r="N53" i="75"/>
  <c r="N52" i="75"/>
  <c r="N50" i="75"/>
  <c r="Q68" i="75"/>
  <c r="Q48" i="75"/>
  <c r="Q51" i="75"/>
  <c r="Q54" i="75"/>
  <c r="Q49" i="75"/>
  <c r="Q50" i="75"/>
  <c r="Q55" i="75"/>
  <c r="Q52" i="75"/>
  <c r="Q53" i="75"/>
  <c r="H56" i="75"/>
  <c r="H69" i="75" s="1"/>
  <c r="H71" i="75"/>
  <c r="H126" i="75" s="1"/>
  <c r="H130" i="75" s="1"/>
  <c r="T56" i="75"/>
  <c r="T69" i="75" s="1"/>
  <c r="T71" i="75" s="1"/>
  <c r="T126" i="75" s="1"/>
  <c r="T130" i="75" s="1"/>
  <c r="J115" i="75"/>
  <c r="J116" i="75" s="1"/>
  <c r="J132" i="75" s="1"/>
  <c r="F68" i="75"/>
  <c r="F54" i="75"/>
  <c r="F51" i="75"/>
  <c r="F48" i="75"/>
  <c r="F52" i="75"/>
  <c r="F53" i="75"/>
  <c r="F49" i="75"/>
  <c r="F50" i="75"/>
  <c r="F55" i="75"/>
  <c r="Q56" i="73"/>
  <c r="Q69" i="73" s="1"/>
  <c r="Q71" i="73" s="1"/>
  <c r="Q126" i="73" s="1"/>
  <c r="Q130" i="73" s="1"/>
  <c r="N115" i="73"/>
  <c r="H56" i="73"/>
  <c r="H69" i="73" s="1"/>
  <c r="F115" i="73"/>
  <c r="J115" i="73"/>
  <c r="J116" i="73"/>
  <c r="H71" i="73"/>
  <c r="H126" i="73" s="1"/>
  <c r="H130" i="73" s="1"/>
  <c r="W115" i="73"/>
  <c r="W116" i="73"/>
  <c r="T56" i="73"/>
  <c r="T69" i="73" s="1"/>
  <c r="T71" i="73" s="1"/>
  <c r="T126" i="73" s="1"/>
  <c r="T130" i="73" s="1"/>
  <c r="Z56" i="73"/>
  <c r="Z69" i="73" s="1"/>
  <c r="Z71" i="73" s="1"/>
  <c r="T56" i="71"/>
  <c r="T69" i="71" s="1"/>
  <c r="T71" i="71" s="1"/>
  <c r="T126" i="71" s="1"/>
  <c r="T130" i="71" s="1"/>
  <c r="T115" i="71" s="1"/>
  <c r="L56" i="71"/>
  <c r="L69" i="71" s="1"/>
  <c r="L71" i="71" s="1"/>
  <c r="L126" i="71" s="1"/>
  <c r="L130" i="71" s="1"/>
  <c r="L115" i="71" s="1"/>
  <c r="L116" i="71"/>
  <c r="L132" i="71"/>
  <c r="W120" i="71"/>
  <c r="Q132" i="71"/>
  <c r="E127" i="45"/>
  <c r="Q119" i="71"/>
  <c r="Q120" i="71"/>
  <c r="Q118" i="71"/>
  <c r="F115" i="71"/>
  <c r="F116" i="71" s="1"/>
  <c r="F132" i="71" s="1"/>
  <c r="N56" i="71"/>
  <c r="N69" i="71" s="1"/>
  <c r="N71" i="71" s="1"/>
  <c r="N126" i="71" s="1"/>
  <c r="N130" i="71" s="1"/>
  <c r="W117" i="71"/>
  <c r="W121" i="71" s="1"/>
  <c r="W131" i="71" s="1"/>
  <c r="H115" i="71"/>
  <c r="H116" i="71" s="1"/>
  <c r="H132" i="71" s="1"/>
  <c r="E129" i="45"/>
  <c r="E128" i="45"/>
  <c r="J116" i="71"/>
  <c r="N115" i="81" l="1"/>
  <c r="N116" i="81" s="1"/>
  <c r="N132" i="81" s="1"/>
  <c r="F56" i="83"/>
  <c r="F69" i="83" s="1"/>
  <c r="N56" i="83"/>
  <c r="N69" i="83" s="1"/>
  <c r="N71" i="83" s="1"/>
  <c r="N126" i="83" s="1"/>
  <c r="N130" i="83" s="1"/>
  <c r="J119" i="83"/>
  <c r="J118" i="83"/>
  <c r="J120" i="83"/>
  <c r="H115" i="83"/>
  <c r="F71" i="83"/>
  <c r="F126" i="83" s="1"/>
  <c r="F130" i="83" s="1"/>
  <c r="Q56" i="83"/>
  <c r="Q69" i="83" s="1"/>
  <c r="Q71" i="83" s="1"/>
  <c r="Q126" i="83" s="1"/>
  <c r="Q130" i="83" s="1"/>
  <c r="F115" i="81"/>
  <c r="F116" i="81" s="1"/>
  <c r="J119" i="81"/>
  <c r="J118" i="81"/>
  <c r="J120" i="81"/>
  <c r="Q115" i="81"/>
  <c r="Q116" i="81" s="1"/>
  <c r="H115" i="81"/>
  <c r="F132" i="79"/>
  <c r="F120" i="79" s="1"/>
  <c r="F116" i="79"/>
  <c r="E17" i="45"/>
  <c r="G17" i="45" s="1"/>
  <c r="E41" i="45"/>
  <c r="G41" i="45" s="1"/>
  <c r="C54" i="45"/>
  <c r="E54" i="45" s="1"/>
  <c r="G54" i="45" s="1"/>
  <c r="N119" i="79"/>
  <c r="N118" i="79"/>
  <c r="N120" i="79"/>
  <c r="W120" i="79"/>
  <c r="J116" i="79"/>
  <c r="W118" i="79"/>
  <c r="W119" i="79"/>
  <c r="H115" i="79"/>
  <c r="J132" i="79"/>
  <c r="Q116" i="79"/>
  <c r="Q132" i="79" s="1"/>
  <c r="H132" i="77"/>
  <c r="N56" i="77"/>
  <c r="N69" i="77" s="1"/>
  <c r="N71" i="77" s="1"/>
  <c r="N126" i="77" s="1"/>
  <c r="N130" i="77" s="1"/>
  <c r="N115" i="77" s="1"/>
  <c r="N116" i="77" s="1"/>
  <c r="W115" i="77"/>
  <c r="W116" i="77" s="1"/>
  <c r="W132" i="77" s="1"/>
  <c r="H120" i="77"/>
  <c r="H118" i="77"/>
  <c r="H119" i="77"/>
  <c r="J115" i="77"/>
  <c r="J116" i="77"/>
  <c r="F115" i="77"/>
  <c r="Z115" i="77"/>
  <c r="Z116" i="77" s="1"/>
  <c r="Z132" i="77" s="1"/>
  <c r="Q56" i="77"/>
  <c r="Q69" i="77" s="1"/>
  <c r="Q71" i="77" s="1"/>
  <c r="Q126" i="77" s="1"/>
  <c r="Q130" i="77" s="1"/>
  <c r="T56" i="77"/>
  <c r="T69" i="77" s="1"/>
  <c r="T71" i="77" s="1"/>
  <c r="F56" i="75"/>
  <c r="F69" i="75" s="1"/>
  <c r="H115" i="75"/>
  <c r="H116" i="75"/>
  <c r="H132" i="75" s="1"/>
  <c r="Q56" i="75"/>
  <c r="Q69" i="75" s="1"/>
  <c r="Q71" i="75" s="1"/>
  <c r="Q126" i="75" s="1"/>
  <c r="Q130" i="75" s="1"/>
  <c r="N56" i="75"/>
  <c r="N69" i="75" s="1"/>
  <c r="N71" i="75" s="1"/>
  <c r="N126" i="75" s="1"/>
  <c r="N130" i="75" s="1"/>
  <c r="J119" i="75"/>
  <c r="J118" i="75"/>
  <c r="F71" i="75"/>
  <c r="F126" i="75" s="1"/>
  <c r="F130" i="75" s="1"/>
  <c r="T115" i="75"/>
  <c r="T116" i="75" s="1"/>
  <c r="Q115" i="73"/>
  <c r="Q116" i="73"/>
  <c r="T115" i="73"/>
  <c r="T116" i="73"/>
  <c r="T132" i="73" s="1"/>
  <c r="Z126" i="73"/>
  <c r="Z87" i="73"/>
  <c r="Z92" i="73" s="1"/>
  <c r="Z101" i="73" s="1"/>
  <c r="Z103" i="73" s="1"/>
  <c r="Z128" i="73" s="1"/>
  <c r="H115" i="73"/>
  <c r="H116" i="73"/>
  <c r="H132" i="73" s="1"/>
  <c r="F116" i="73"/>
  <c r="W132" i="73"/>
  <c r="J132" i="73"/>
  <c r="N116" i="73"/>
  <c r="N132" i="73" s="1"/>
  <c r="L120" i="73" s="1"/>
  <c r="L117" i="73" s="1"/>
  <c r="L121" i="73" s="1"/>
  <c r="L131" i="73" s="1"/>
  <c r="C13" i="45"/>
  <c r="L119" i="71"/>
  <c r="L118" i="71"/>
  <c r="H119" i="71"/>
  <c r="H120" i="71"/>
  <c r="H118" i="71"/>
  <c r="H117" i="71" s="1"/>
  <c r="F120" i="71"/>
  <c r="J13" i="45"/>
  <c r="F118" i="71"/>
  <c r="F119" i="71"/>
  <c r="J132" i="71"/>
  <c r="H121" i="71"/>
  <c r="H131" i="71" s="1"/>
  <c r="T116" i="71"/>
  <c r="T132" i="71" s="1"/>
  <c r="N115" i="71"/>
  <c r="N116" i="71" s="1"/>
  <c r="N132" i="71" s="1"/>
  <c r="L120" i="71" s="1"/>
  <c r="Q117" i="71"/>
  <c r="Q121" i="71" s="1"/>
  <c r="Q131" i="71" s="1"/>
  <c r="N120" i="81" l="1"/>
  <c r="N118" i="81"/>
  <c r="N119" i="81"/>
  <c r="C55" i="45"/>
  <c r="E55" i="45" s="1"/>
  <c r="G55" i="45" s="1"/>
  <c r="E18" i="45"/>
  <c r="G18" i="45" s="1"/>
  <c r="H55" i="45" s="1"/>
  <c r="F115" i="83"/>
  <c r="J117" i="83"/>
  <c r="J121" i="83" s="1"/>
  <c r="J131" i="83" s="1"/>
  <c r="Q115" i="83"/>
  <c r="Q116" i="83"/>
  <c r="Q132" i="83" s="1"/>
  <c r="H116" i="83"/>
  <c r="N115" i="83"/>
  <c r="N116" i="83" s="1"/>
  <c r="N132" i="83" s="1"/>
  <c r="H132" i="83"/>
  <c r="E42" i="45"/>
  <c r="G42" i="45" s="1"/>
  <c r="Q132" i="81"/>
  <c r="Q120" i="81" s="1"/>
  <c r="F132" i="81"/>
  <c r="Q119" i="81"/>
  <c r="Q118" i="81"/>
  <c r="J117" i="81"/>
  <c r="J121" i="81" s="1"/>
  <c r="J131" i="81" s="1"/>
  <c r="H116" i="81"/>
  <c r="H132" i="81" s="1"/>
  <c r="F119" i="79"/>
  <c r="F118" i="79"/>
  <c r="F117" i="79" s="1"/>
  <c r="F121" i="79" s="1"/>
  <c r="F131" i="79" s="1"/>
  <c r="W117" i="79"/>
  <c r="W121" i="79" s="1"/>
  <c r="W131" i="79" s="1"/>
  <c r="Q118" i="79"/>
  <c r="Q120" i="79"/>
  <c r="E136" i="45"/>
  <c r="Q119" i="79"/>
  <c r="J120" i="79"/>
  <c r="J119" i="79"/>
  <c r="J118" i="79"/>
  <c r="H116" i="79"/>
  <c r="H132" i="79" s="1"/>
  <c r="N117" i="79"/>
  <c r="N121" i="79" s="1"/>
  <c r="N131" i="79" s="1"/>
  <c r="T126" i="77"/>
  <c r="T87" i="77"/>
  <c r="T92" i="77" s="1"/>
  <c r="T101" i="77" s="1"/>
  <c r="T103" i="77" s="1"/>
  <c r="T128" i="77" s="1"/>
  <c r="Z118" i="77"/>
  <c r="Z119" i="77"/>
  <c r="Q115" i="77"/>
  <c r="E16" i="45"/>
  <c r="G16" i="45" s="1"/>
  <c r="Z120" i="77"/>
  <c r="E40" i="45"/>
  <c r="G40" i="45" s="1"/>
  <c r="C53" i="45"/>
  <c r="E53" i="45" s="1"/>
  <c r="G53" i="45" s="1"/>
  <c r="N119" i="77"/>
  <c r="N118" i="77"/>
  <c r="N120" i="77"/>
  <c r="W120" i="77"/>
  <c r="W118" i="77"/>
  <c r="W119" i="77"/>
  <c r="F116" i="77"/>
  <c r="F132" i="77" s="1"/>
  <c r="J132" i="77"/>
  <c r="H117" i="77"/>
  <c r="H121" i="77" s="1"/>
  <c r="H131" i="77" s="1"/>
  <c r="H119" i="75"/>
  <c r="H120" i="75"/>
  <c r="H118" i="75"/>
  <c r="F115" i="75"/>
  <c r="F132" i="75" s="1"/>
  <c r="F116" i="75"/>
  <c r="N115" i="75"/>
  <c r="Q115" i="75"/>
  <c r="T132" i="75"/>
  <c r="Q132" i="73"/>
  <c r="T118" i="73"/>
  <c r="E131" i="45"/>
  <c r="T119" i="73"/>
  <c r="T120" i="73"/>
  <c r="J118" i="73"/>
  <c r="J119" i="73"/>
  <c r="W118" i="73"/>
  <c r="W120" i="73"/>
  <c r="W119" i="73"/>
  <c r="F132" i="73"/>
  <c r="H119" i="73"/>
  <c r="H120" i="73"/>
  <c r="H118" i="73"/>
  <c r="E133" i="45"/>
  <c r="E132" i="45"/>
  <c r="E14" i="45"/>
  <c r="G14" i="45" s="1"/>
  <c r="E38" i="45"/>
  <c r="G38" i="45" s="1"/>
  <c r="Q120" i="73"/>
  <c r="C51" i="45"/>
  <c r="E51" i="45" s="1"/>
  <c r="J120" i="73"/>
  <c r="N119" i="73"/>
  <c r="N120" i="73"/>
  <c r="N118" i="73"/>
  <c r="L117" i="71"/>
  <c r="L121" i="71" s="1"/>
  <c r="L131" i="71" s="1"/>
  <c r="E37" i="45"/>
  <c r="G37" i="45" s="1"/>
  <c r="N118" i="71"/>
  <c r="N119" i="71"/>
  <c r="N120" i="71"/>
  <c r="E50" i="45"/>
  <c r="G50" i="45" s="1"/>
  <c r="T118" i="71"/>
  <c r="T120" i="71"/>
  <c r="T119" i="71"/>
  <c r="J120" i="71"/>
  <c r="J118" i="71"/>
  <c r="J119" i="71"/>
  <c r="F117" i="71"/>
  <c r="F121" i="71" s="1"/>
  <c r="F131" i="71" s="1"/>
  <c r="N117" i="81" l="1"/>
  <c r="N121" i="81" s="1"/>
  <c r="N131" i="81" s="1"/>
  <c r="E19" i="45"/>
  <c r="G19" i="45" s="1"/>
  <c r="E43" i="45"/>
  <c r="G43" i="45" s="1"/>
  <c r="N119" i="83"/>
  <c r="C56" i="45"/>
  <c r="E56" i="45" s="1"/>
  <c r="G56" i="45" s="1"/>
  <c r="N120" i="83"/>
  <c r="N118" i="83"/>
  <c r="Q118" i="83"/>
  <c r="E139" i="45"/>
  <c r="Q120" i="83"/>
  <c r="Q119" i="83"/>
  <c r="H118" i="83"/>
  <c r="H120" i="83"/>
  <c r="H119" i="83"/>
  <c r="F116" i="83"/>
  <c r="F132" i="83" s="1"/>
  <c r="E138" i="45"/>
  <c r="F119" i="81"/>
  <c r="F118" i="81"/>
  <c r="F120" i="81"/>
  <c r="Q117" i="81"/>
  <c r="Q121" i="81" s="1"/>
  <c r="Q131" i="81" s="1"/>
  <c r="H120" i="81"/>
  <c r="H118" i="81"/>
  <c r="H119" i="81"/>
  <c r="H118" i="79"/>
  <c r="H120" i="79"/>
  <c r="H119" i="79"/>
  <c r="Q117" i="79"/>
  <c r="Q121" i="79" s="1"/>
  <c r="Q131" i="79" s="1"/>
  <c r="J117" i="79"/>
  <c r="J121" i="79" s="1"/>
  <c r="J131" i="79" s="1"/>
  <c r="W117" i="77"/>
  <c r="W121" i="77" s="1"/>
  <c r="W131" i="77" s="1"/>
  <c r="N117" i="77"/>
  <c r="N121" i="77" s="1"/>
  <c r="N131" i="77" s="1"/>
  <c r="J120" i="77"/>
  <c r="J118" i="77"/>
  <c r="J119" i="77"/>
  <c r="H40" i="45"/>
  <c r="Q116" i="77"/>
  <c r="Q132" i="77" s="1"/>
  <c r="Z117" i="77"/>
  <c r="Z121" i="77" s="1"/>
  <c r="Z131" i="77" s="1"/>
  <c r="F118" i="77"/>
  <c r="F120" i="77"/>
  <c r="F119" i="77"/>
  <c r="Q116" i="75"/>
  <c r="Q132" i="75" s="1"/>
  <c r="H117" i="75"/>
  <c r="H121" i="75" s="1"/>
  <c r="H131" i="75" s="1"/>
  <c r="F118" i="75"/>
  <c r="F120" i="75"/>
  <c r="F119" i="75"/>
  <c r="T118" i="75"/>
  <c r="T119" i="75"/>
  <c r="N116" i="75"/>
  <c r="N132" i="75" s="1"/>
  <c r="L120" i="75" s="1"/>
  <c r="L117" i="75" s="1"/>
  <c r="L121" i="75" s="1"/>
  <c r="L131" i="75" s="1"/>
  <c r="E130" i="45"/>
  <c r="Q119" i="73"/>
  <c r="Q118" i="73"/>
  <c r="Q117" i="73" s="1"/>
  <c r="Q121" i="73" s="1"/>
  <c r="Q131" i="73" s="1"/>
  <c r="W117" i="73"/>
  <c r="W121" i="73" s="1"/>
  <c r="W131" i="73" s="1"/>
  <c r="F118" i="73"/>
  <c r="F119" i="73"/>
  <c r="F120" i="73"/>
  <c r="H38" i="45"/>
  <c r="N117" i="73"/>
  <c r="N121" i="73" s="1"/>
  <c r="N131" i="73" s="1"/>
  <c r="G51" i="45"/>
  <c r="I50" i="45"/>
  <c r="H117" i="73"/>
  <c r="H121" i="73" s="1"/>
  <c r="H131" i="73" s="1"/>
  <c r="J117" i="73"/>
  <c r="J121" i="73" s="1"/>
  <c r="J131" i="73" s="1"/>
  <c r="T117" i="73"/>
  <c r="T121" i="73" s="1"/>
  <c r="T131" i="73" s="1"/>
  <c r="J117" i="71"/>
  <c r="J121" i="71" s="1"/>
  <c r="J131" i="71" s="1"/>
  <c r="E13" i="45"/>
  <c r="G13" i="45" s="1"/>
  <c r="H13" i="45"/>
  <c r="T117" i="71"/>
  <c r="T121" i="71" s="1"/>
  <c r="T131" i="71" s="1"/>
  <c r="N117" i="71"/>
  <c r="N121" i="71" s="1"/>
  <c r="N131" i="71" s="1"/>
  <c r="N117" i="83" l="1"/>
  <c r="N121" i="83" s="1"/>
  <c r="N131" i="83" s="1"/>
  <c r="H56" i="45"/>
  <c r="F120" i="83"/>
  <c r="F118" i="83"/>
  <c r="F119" i="83"/>
  <c r="H117" i="83"/>
  <c r="H121" i="83" s="1"/>
  <c r="H131" i="83" s="1"/>
  <c r="Q117" i="83"/>
  <c r="Q121" i="83" s="1"/>
  <c r="Q131" i="83" s="1"/>
  <c r="F117" i="81"/>
  <c r="F121" i="81" s="1"/>
  <c r="F131" i="81" s="1"/>
  <c r="H117" i="81"/>
  <c r="H121" i="81" s="1"/>
  <c r="H131" i="81" s="1"/>
  <c r="H117" i="79"/>
  <c r="H121" i="79" s="1"/>
  <c r="H131" i="79" s="1"/>
  <c r="Q118" i="77"/>
  <c r="E135" i="45"/>
  <c r="Q119" i="77"/>
  <c r="Q120" i="77"/>
  <c r="F117" i="77"/>
  <c r="F121" i="77" s="1"/>
  <c r="F131" i="77" s="1"/>
  <c r="J117" i="77"/>
  <c r="J121" i="77" s="1"/>
  <c r="J131" i="77" s="1"/>
  <c r="H84" i="45"/>
  <c r="I84" i="45" s="1"/>
  <c r="H96" i="45"/>
  <c r="I96" i="45" s="1"/>
  <c r="H100" i="45"/>
  <c r="I100" i="45" s="1"/>
  <c r="H101" i="45"/>
  <c r="I101" i="45" s="1"/>
  <c r="J83" i="45"/>
  <c r="H83" i="45"/>
  <c r="I83" i="45" s="1"/>
  <c r="Q118" i="75"/>
  <c r="H85" i="45"/>
  <c r="I85" i="45" s="1"/>
  <c r="H81" i="45"/>
  <c r="I81" i="45" s="1"/>
  <c r="H99" i="45"/>
  <c r="I99" i="45" s="1"/>
  <c r="H98" i="45"/>
  <c r="I98" i="45" s="1"/>
  <c r="H82" i="45"/>
  <c r="I82" i="45" s="1"/>
  <c r="E134" i="45"/>
  <c r="E140" i="45" s="1"/>
  <c r="H86" i="45"/>
  <c r="I86" i="45" s="1"/>
  <c r="Q119" i="75"/>
  <c r="H97" i="45"/>
  <c r="I97" i="45" s="1"/>
  <c r="E15" i="45"/>
  <c r="G15" i="45" s="1"/>
  <c r="G20" i="45" s="1"/>
  <c r="J120" i="75"/>
  <c r="J117" i="75" s="1"/>
  <c r="J121" i="75" s="1"/>
  <c r="J131" i="75" s="1"/>
  <c r="N119" i="75"/>
  <c r="E39" i="45"/>
  <c r="G39" i="45" s="1"/>
  <c r="T120" i="75"/>
  <c r="T117" i="75" s="1"/>
  <c r="T121" i="75" s="1"/>
  <c r="T131" i="75" s="1"/>
  <c r="Q120" i="75"/>
  <c r="N118" i="75"/>
  <c r="C52" i="45"/>
  <c r="E52" i="45" s="1"/>
  <c r="G52" i="45" s="1"/>
  <c r="G57" i="45" s="1"/>
  <c r="O116" i="45" s="1"/>
  <c r="P116" i="45" s="1"/>
  <c r="N120" i="75"/>
  <c r="F117" i="75"/>
  <c r="F121" i="75" s="1"/>
  <c r="F131" i="75" s="1"/>
  <c r="F117" i="73"/>
  <c r="F121" i="73" s="1"/>
  <c r="F131" i="73" s="1"/>
  <c r="F117" i="83" l="1"/>
  <c r="F121" i="83" s="1"/>
  <c r="F131" i="83" s="1"/>
  <c r="H113" i="45"/>
  <c r="H112" i="45"/>
  <c r="Q117" i="77"/>
  <c r="Q121" i="77" s="1"/>
  <c r="Q131" i="77" s="1"/>
  <c r="O97" i="45"/>
  <c r="G102" i="45"/>
  <c r="G114" i="45"/>
  <c r="G112" i="45"/>
  <c r="H117" i="45" s="1"/>
  <c r="O99" i="45"/>
  <c r="P99" i="45" s="1"/>
  <c r="N117" i="75"/>
  <c r="N121" i="75" s="1"/>
  <c r="N131" i="75" s="1"/>
  <c r="G106" i="45"/>
  <c r="G104" i="45"/>
  <c r="O125" i="45"/>
  <c r="P125" i="45" s="1"/>
  <c r="H107" i="45"/>
  <c r="H115" i="45"/>
  <c r="H106" i="45"/>
  <c r="Q117" i="75"/>
  <c r="Q121" i="75" s="1"/>
  <c r="Q131" i="75" s="1"/>
  <c r="G113" i="45"/>
  <c r="G107" i="45"/>
  <c r="O96" i="45"/>
  <c r="O98" i="45"/>
  <c r="H114" i="45"/>
  <c r="O118" i="45"/>
  <c r="P118" i="45" s="1"/>
  <c r="G105" i="45"/>
  <c r="H110" i="45"/>
  <c r="G63" i="45"/>
  <c r="O119" i="45"/>
  <c r="P119" i="45" s="1"/>
  <c r="I87" i="45"/>
  <c r="H103" i="45"/>
  <c r="O121" i="45"/>
  <c r="P121" i="45" s="1"/>
  <c r="N98" i="45"/>
  <c r="N97" i="45"/>
  <c r="P97" i="45" s="1"/>
  <c r="N96" i="45"/>
  <c r="F45" i="45"/>
  <c r="E70" i="45" s="1"/>
  <c r="F21" i="45"/>
  <c r="B70" i="45" s="1"/>
  <c r="G103" i="45"/>
  <c r="G115" i="45"/>
  <c r="G111" i="45"/>
  <c r="O120" i="45"/>
  <c r="P120" i="45" s="1"/>
  <c r="O117" i="45"/>
  <c r="P117" i="45" s="1"/>
  <c r="J57" i="45"/>
  <c r="K57" i="45" s="1"/>
  <c r="O101" i="45"/>
  <c r="P101" i="45" s="1"/>
  <c r="O122" i="45"/>
  <c r="P122" i="45" s="1"/>
  <c r="G69" i="45"/>
  <c r="H69" i="45" s="1"/>
  <c r="H104" i="45"/>
  <c r="H57" i="45"/>
  <c r="I57" i="45" s="1"/>
  <c r="O123" i="45"/>
  <c r="P123" i="45" s="1"/>
  <c r="G110" i="45"/>
  <c r="H118" i="45" s="1"/>
  <c r="G109" i="45"/>
  <c r="G108" i="45"/>
  <c r="H108" i="45"/>
  <c r="O124" i="45"/>
  <c r="P124" i="45" s="1"/>
  <c r="H102" i="45"/>
  <c r="I102" i="45" s="1"/>
  <c r="H111" i="45"/>
  <c r="O100" i="45"/>
  <c r="P100" i="45" s="1"/>
  <c r="H105" i="45"/>
  <c r="F58" i="45"/>
  <c r="H109" i="45"/>
  <c r="I114" i="45" l="1"/>
  <c r="I106" i="45"/>
  <c r="I113" i="45"/>
  <c r="I110" i="45"/>
  <c r="I112" i="45"/>
  <c r="F70" i="45"/>
  <c r="I111" i="45"/>
  <c r="I109" i="45"/>
  <c r="I105" i="45"/>
  <c r="I104" i="45"/>
  <c r="I115" i="45"/>
  <c r="P96" i="45"/>
  <c r="H61" i="45"/>
  <c r="I103" i="45"/>
  <c r="P98" i="45"/>
  <c r="P126" i="45" s="1"/>
  <c r="P127" i="45"/>
  <c r="I107" i="45"/>
  <c r="I108" i="45"/>
  <c r="G60" i="45"/>
  <c r="H58" i="45"/>
  <c r="E71" i="45"/>
  <c r="F72" i="45" s="1"/>
  <c r="G76" i="45"/>
  <c r="G61" i="45"/>
  <c r="H60" i="45"/>
  <c r="I60" i="45" s="1"/>
  <c r="F71" i="45" l="1"/>
  <c r="Q96" i="45"/>
  <c r="I116" i="4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Pedro</author>
  </authors>
  <commentList>
    <comment ref="G82" authorId="0" shapeId="0" xr:uid="{BEC203F5-DA79-4491-90DA-5BE7F1D4B332}">
      <text>
        <r>
          <rPr>
            <b/>
            <sz val="9"/>
            <color indexed="81"/>
            <rFont val="Segoe UI"/>
            <family val="2"/>
          </rPr>
          <t>Pedro:</t>
        </r>
        <r>
          <rPr>
            <sz val="9"/>
            <color indexed="81"/>
            <rFont val="Segoe UI"/>
            <family val="2"/>
          </rPr>
          <t xml:space="preserve">
Já considerei a retirada de R$ 1.350,07 que foi feita na Nota de Março, pois a de Fev foi paga a mais</t>
        </r>
      </text>
    </comment>
    <comment ref="H82" authorId="0" shapeId="0" xr:uid="{6F957BFA-C878-4BCB-BD80-C05059A46F6F}">
      <text>
        <r>
          <rPr>
            <b/>
            <sz val="9"/>
            <color indexed="81"/>
            <rFont val="Segoe UI"/>
            <family val="2"/>
          </rPr>
          <t>Pedro:</t>
        </r>
        <r>
          <rPr>
            <sz val="9"/>
            <color indexed="81"/>
            <rFont val="Segoe UI"/>
            <family val="2"/>
          </rPr>
          <t xml:space="preserve">
Este valor está sem a repac 2023 dos R$ 1.350,07 que foram pagos a mais e descontados na Fatura de Março</t>
        </r>
      </text>
    </comment>
    <comment ref="G83" authorId="0" shapeId="0" xr:uid="{AD47CC92-74C3-452C-A738-D4328EA13EE8}">
      <text>
        <r>
          <rPr>
            <b/>
            <sz val="9"/>
            <color indexed="81"/>
            <rFont val="Segoe UI"/>
            <charset val="1"/>
          </rPr>
          <t>Pedro:</t>
        </r>
        <r>
          <rPr>
            <sz val="9"/>
            <color indexed="81"/>
            <rFont val="Segoe UI"/>
            <charset val="1"/>
          </rPr>
          <t xml:space="preserve">
valor cehio da nota, pois o seconto de 1.350,07 eu fiz na nota de fevereiro como deveria ter sido feito, mas Luisa frz acorso para descontar em março e não arrumar a nf de fevereiro</t>
        </r>
      </text>
    </comment>
    <comment ref="H83" authorId="0" shapeId="0" xr:uid="{46101460-8D26-4C74-B874-509E553515F5}">
      <text>
        <r>
          <rPr>
            <b/>
            <sz val="9"/>
            <color indexed="81"/>
            <rFont val="Segoe UI"/>
            <family val="2"/>
          </rPr>
          <t>Pedro:</t>
        </r>
        <r>
          <rPr>
            <sz val="9"/>
            <color indexed="81"/>
            <rFont val="Segoe UI"/>
            <family val="2"/>
          </rPr>
          <t xml:space="preserve">
Falta recebr as planilahs de FG de Férias do Vig Not Armada, pois foi pago 6.379,32 mas este valor nunca achei usando a plnilha de FG.
Esperar empresa mandar os excels para eu ver e, se tiver de cordo, reclacular.
Senão vai ficar com este valor mesmo, que é ov alor que usei em outras férias</t>
        </r>
      </text>
    </comment>
    <comment ref="J83" authorId="0" shapeId="0" xr:uid="{7706C1ED-64DC-407E-B255-DD042D02DA2A}">
      <text>
        <r>
          <rPr>
            <b/>
            <sz val="9"/>
            <color indexed="81"/>
            <rFont val="Segoe UI"/>
            <family val="2"/>
          </rPr>
          <t>Pedro:</t>
        </r>
        <r>
          <rPr>
            <sz val="9"/>
            <color indexed="81"/>
            <rFont val="Segoe UI"/>
            <family val="2"/>
          </rPr>
          <t xml:space="preserve">
Falta recebr as planilahs de FG de Férias do Vig Not Armada, pois foi pago 6.379,32 mas este valor nunca achei usando a plnilha de FG.
Esperar empresa mandar os excels para eu ver e, se tiver de cordo, reclacular.
Senão vai ficar com este valor mesmo, que é ov alor que usei em outras férias</t>
        </r>
      </text>
    </comment>
    <comment ref="H85" authorId="0" shapeId="0" xr:uid="{DB6FF262-A513-4394-8B19-B8EAB1AF5518}">
      <text>
        <r>
          <rPr>
            <b/>
            <sz val="9"/>
            <color indexed="81"/>
            <rFont val="Segoe UI"/>
            <family val="2"/>
          </rPr>
          <t>Pedro:</t>
        </r>
        <r>
          <rPr>
            <sz val="9"/>
            <color indexed="81"/>
            <rFont val="Segoe UI"/>
            <family val="2"/>
          </rPr>
          <t xml:space="preserve">
Pegar planilha da empresa do vigilante diurno desearmado 44hs, ovalor que empresa recebeu não bate com o que calculei.
Ele calculou  menos do que eu encontrei</t>
        </r>
      </text>
    </comment>
    <comment ref="G97" authorId="0" shapeId="0" xr:uid="{99E6D052-D378-4BAA-A70D-E1184DBA526B}">
      <text>
        <r>
          <rPr>
            <b/>
            <sz val="9"/>
            <color indexed="81"/>
            <rFont val="Segoe UI"/>
            <family val="2"/>
          </rPr>
          <t>Pedro:</t>
        </r>
        <r>
          <rPr>
            <sz val="9"/>
            <color indexed="81"/>
            <rFont val="Segoe UI"/>
            <family val="2"/>
          </rPr>
          <t xml:space="preserve">
Já considerei a retirada de R$ 1.350,07 que foi feita na Nota de Março, pois a de Fev foi paga a mais</t>
        </r>
      </text>
    </comment>
    <comment ref="H97" authorId="0" shapeId="0" xr:uid="{5C14D5AE-69A5-43E6-A2F6-44C1B879A305}">
      <text>
        <r>
          <rPr>
            <b/>
            <sz val="9"/>
            <color indexed="81"/>
            <rFont val="Segoe UI"/>
            <family val="2"/>
          </rPr>
          <t>Pedro:</t>
        </r>
        <r>
          <rPr>
            <sz val="9"/>
            <color indexed="81"/>
            <rFont val="Segoe UI"/>
            <family val="2"/>
          </rPr>
          <t xml:space="preserve">
Este valor está sem a repac 2023 dos R$ 1.350,07 que foram pagos a mais e descontados na Fatura de Março</t>
        </r>
      </text>
    </comment>
    <comment ref="G98" authorId="0" shapeId="0" xr:uid="{FB250949-21B5-4E60-8146-DB0413567848}">
      <text>
        <r>
          <rPr>
            <b/>
            <sz val="9"/>
            <color indexed="81"/>
            <rFont val="Segoe UI"/>
            <charset val="1"/>
          </rPr>
          <t>Pedro:</t>
        </r>
        <r>
          <rPr>
            <sz val="9"/>
            <color indexed="81"/>
            <rFont val="Segoe UI"/>
            <charset val="1"/>
          </rPr>
          <t xml:space="preserve">
valor cehio da nota, pois o seconto de 1.350,07 eu fiz na nota de fevereiro como deveria ter sido feito, mas Luisa frz acorso para descontar em março e não arrumar a nf de fevereiro</t>
        </r>
      </text>
    </comment>
    <comment ref="H98" authorId="0" shapeId="0" xr:uid="{28EA4EB7-6AEE-47E2-BA72-CCBA4E7D75AE}">
      <text>
        <r>
          <rPr>
            <b/>
            <sz val="9"/>
            <color indexed="81"/>
            <rFont val="Segoe UI"/>
            <family val="2"/>
          </rPr>
          <t>Pedro:</t>
        </r>
        <r>
          <rPr>
            <sz val="9"/>
            <color indexed="81"/>
            <rFont val="Segoe UI"/>
            <family val="2"/>
          </rPr>
          <t xml:space="preserve">
Falta recebr as planilahs de FG de Férias do Vig Not Armada, pois foi pago 6.379,32 mas este valor nunca achei usando a plnilha de FG.
Esperar empresa mandar os excels para eu ver e, se tiver de cordo, reclacular.
Senão vai ficar com este valor mesmo, que é ov alor que usei em outras férias</t>
        </r>
      </text>
    </comment>
    <comment ref="H100" authorId="0" shapeId="0" xr:uid="{3E684E59-5472-4FEC-B888-577CEA56D8D9}">
      <text>
        <r>
          <rPr>
            <b/>
            <sz val="9"/>
            <color indexed="81"/>
            <rFont val="Segoe UI"/>
            <family val="2"/>
          </rPr>
          <t>Pedro:</t>
        </r>
        <r>
          <rPr>
            <sz val="9"/>
            <color indexed="81"/>
            <rFont val="Segoe UI"/>
            <family val="2"/>
          </rPr>
          <t xml:space="preserve">
Pegar planilha da empresa do vigilante diurno desearmado 44hs, ovalor que empresa recebeu não bate com o que calculei.
Ele calculou  menos do que eu encontrei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  <author>Pedro</author>
  </authors>
  <commentList>
    <comment ref="E43" authorId="0" shapeId="0" xr:uid="{EEDA668B-085B-45A8-A6D0-D464CBD0034E}">
      <text>
        <r>
          <rPr>
            <b/>
            <sz val="9"/>
            <color indexed="81"/>
            <rFont val="Segoe UI"/>
            <family val="2"/>
          </rPr>
          <t>Admin:</t>
        </r>
        <r>
          <rPr>
            <sz val="9"/>
            <color indexed="81"/>
            <rFont val="Segoe UI"/>
            <family val="2"/>
          </rPr>
          <t xml:space="preserve">
1 salário x (1/12) = 0,0833 = 8,33%.  Todavia, observe que apenas no primeiro ano do contrato o empregado tem que trabalhar 12 meses pra gozar férias. 
1 salário x (1/11) = 0,09090 ≈ 9,075%. No segundo ano em diante o empregado trabalha 11 e tira férias, então entende-se que a provisão mais correta seria por 11 meses ao invés de 12. Atente-se que não se pode repactuar o contrato pra aumentar o preço, não dá pra usar os dois. De mais a mais, o órgão que trabalha com conta vinculada é obrigado a reter 12,10% de férias e adicional de férias (1/11 + 1/3/11) por força da norma, a IN 5/2017 em seu anexo XII. 
Pra órgãos que trabalham com Conta Vinculada a soma das Férias (9,075%)+Adicional de Férias(3,025%)=12,10%, conforme Anexo XII da IN 5/2017. Portanto, utilize o percentual de 9,075% ao invés de 8,33% para Férias.</t>
        </r>
      </text>
    </comment>
    <comment ref="W56" authorId="1" shapeId="0" xr:uid="{EE99D447-9AFA-45F5-A727-83D559FC7D85}">
      <text>
        <r>
          <rPr>
            <b/>
            <sz val="9"/>
            <color indexed="81"/>
            <rFont val="Segoe UI"/>
            <family val="2"/>
          </rPr>
          <t>Pedro:</t>
        </r>
        <r>
          <rPr>
            <sz val="9"/>
            <color indexed="81"/>
            <rFont val="Segoe UI"/>
            <family val="2"/>
          </rPr>
          <t xml:space="preserve">
Fórmula que povo usa na EGCON</t>
        </r>
      </text>
    </comment>
    <comment ref="E77" authorId="1" shapeId="0" xr:uid="{08AE16AB-DF57-4E77-ADCA-C2BDD761EE5B}">
      <text>
        <r>
          <rPr>
            <b/>
            <sz val="9"/>
            <color indexed="81"/>
            <rFont val="Segoe UI"/>
            <family val="2"/>
          </rPr>
          <t>Pedro:</t>
        </r>
        <r>
          <rPr>
            <sz val="9"/>
            <color indexed="81"/>
            <rFont val="Segoe UI"/>
            <family val="2"/>
          </rPr>
          <t xml:space="preserve">
Fórmula usada pela Vippim, ela difere da padrão e ela dá um % menor que a padrão</t>
        </r>
      </text>
    </comment>
    <comment ref="E80" authorId="1" shapeId="0" xr:uid="{5325788E-2541-4123-884E-589C15DF5143}">
      <text>
        <r>
          <rPr>
            <b/>
            <sz val="9"/>
            <color indexed="81"/>
            <rFont val="Segoe UI"/>
            <family val="2"/>
          </rPr>
          <t>Pedro:</t>
        </r>
        <r>
          <rPr>
            <sz val="9"/>
            <color indexed="81"/>
            <rFont val="Segoe UI"/>
            <family val="2"/>
          </rPr>
          <t xml:space="preserve">
Fórmula diferente da padrão, ela dá % menopr que a padrão</t>
        </r>
      </text>
    </comment>
    <comment ref="V80" authorId="1" shapeId="0" xr:uid="{09F545B4-F2E3-4396-B84A-304F7E81563E}">
      <text>
        <r>
          <rPr>
            <b/>
            <sz val="9"/>
            <color indexed="81"/>
            <rFont val="Segoe UI"/>
            <family val="2"/>
          </rPr>
          <t>Pedro:</t>
        </r>
        <r>
          <rPr>
            <sz val="9"/>
            <color indexed="81"/>
            <rFont val="Segoe UI"/>
            <family val="2"/>
          </rPr>
          <t xml:space="preserve">
egocn CONSIDERA ESTA MULTA NAS RESCISÕES</t>
        </r>
      </text>
    </comment>
    <comment ref="W125" authorId="1" shapeId="0" xr:uid="{07512BE0-C0C5-4387-B542-D3351711A4CD}">
      <text>
        <r>
          <rPr>
            <b/>
            <sz val="9"/>
            <color indexed="81"/>
            <rFont val="Segoe UI"/>
            <family val="2"/>
          </rPr>
          <t>Pedro:</t>
        </r>
        <r>
          <rPr>
            <sz val="9"/>
            <color indexed="81"/>
            <rFont val="Segoe UI"/>
            <family val="2"/>
          </rPr>
          <t xml:space="preserve">
Remuneração não entra na conta da rescisão</t>
        </r>
      </text>
    </comment>
    <comment ref="W130" authorId="1" shapeId="0" xr:uid="{52961764-FB85-48B4-9F9A-7E39589D0B43}">
      <text>
        <r>
          <rPr>
            <b/>
            <sz val="9"/>
            <color indexed="81"/>
            <rFont val="Segoe UI"/>
            <family val="2"/>
          </rPr>
          <t>Pedro:</t>
        </r>
        <r>
          <rPr>
            <sz val="9"/>
            <color indexed="81"/>
            <rFont val="Segoe UI"/>
            <family val="2"/>
          </rPr>
          <t xml:space="preserve">
18 meses de período aquisitivo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  <author>Pedro</author>
  </authors>
  <commentList>
    <comment ref="E43" authorId="0" shapeId="0" xr:uid="{CB566323-8C3E-4E61-BF9D-FC1FD7A8C0A9}">
      <text>
        <r>
          <rPr>
            <b/>
            <sz val="9"/>
            <color indexed="81"/>
            <rFont val="Segoe UI"/>
            <family val="2"/>
          </rPr>
          <t>Admin:</t>
        </r>
        <r>
          <rPr>
            <sz val="9"/>
            <color indexed="81"/>
            <rFont val="Segoe UI"/>
            <family val="2"/>
          </rPr>
          <t xml:space="preserve">
1 salário x (1/12) = 0,0833 = 8,33%.  Todavia, observe que apenas no primeiro ano do contrato o empregado tem que trabalhar 12 meses pra gozar férias. 
1 salário x (1/11) = 0,09090 ≈ 9,075%. No segundo ano em diante o empregado trabalha 11 e tira férias, então entende-se que a provisão mais correta seria por 11 meses ao invés de 12. Atente-se que não se pode repactuar o contrato pra aumentar o preço, não dá pra usar os dois. De mais a mais, o órgão que trabalha com conta vinculada é obrigado a reter 12,10% de férias e adicional de férias (1/11 + 1/3/11) por força da norma, a IN 5/2017 em seu anexo XII. 
Pra órgãos que trabalham com Conta Vinculada a soma das Férias (9,075%)+Adicional de Férias(3,025%)=12,10%, conforme Anexo XII da IN 5/2017. Portanto, utilize o percentual de 9,075% ao invés de 8,33% para Férias.</t>
        </r>
      </text>
    </comment>
    <comment ref="W56" authorId="1" shapeId="0" xr:uid="{467B06DA-DDBC-4B77-942D-8E8E336C9864}">
      <text>
        <r>
          <rPr>
            <b/>
            <sz val="9"/>
            <color indexed="81"/>
            <rFont val="Segoe UI"/>
            <family val="2"/>
          </rPr>
          <t>Pedro:</t>
        </r>
        <r>
          <rPr>
            <sz val="9"/>
            <color indexed="81"/>
            <rFont val="Segoe UI"/>
            <family val="2"/>
          </rPr>
          <t xml:space="preserve">
Fórmula que povo usa na EGCON</t>
        </r>
      </text>
    </comment>
    <comment ref="E77" authorId="1" shapeId="0" xr:uid="{3ADE203D-09AD-434B-B087-22CD1447F2D0}">
      <text>
        <r>
          <rPr>
            <b/>
            <sz val="9"/>
            <color indexed="81"/>
            <rFont val="Segoe UI"/>
            <family val="2"/>
          </rPr>
          <t>Pedro:</t>
        </r>
        <r>
          <rPr>
            <sz val="9"/>
            <color indexed="81"/>
            <rFont val="Segoe UI"/>
            <family val="2"/>
          </rPr>
          <t xml:space="preserve">
Fórmula usada pela Vippim, ela difere da padrão e ela dá um % menor que a padrão</t>
        </r>
      </text>
    </comment>
    <comment ref="E80" authorId="1" shapeId="0" xr:uid="{853CD197-E2B2-49DF-925A-8A87E7EB3D9B}">
      <text>
        <r>
          <rPr>
            <b/>
            <sz val="9"/>
            <color indexed="81"/>
            <rFont val="Segoe UI"/>
            <family val="2"/>
          </rPr>
          <t>Pedro:</t>
        </r>
        <r>
          <rPr>
            <sz val="9"/>
            <color indexed="81"/>
            <rFont val="Segoe UI"/>
            <family val="2"/>
          </rPr>
          <t xml:space="preserve">
Fórmula diferente da padrão, ela dá % menopr que a padrão</t>
        </r>
      </text>
    </comment>
    <comment ref="V80" authorId="1" shapeId="0" xr:uid="{3A31EBBE-74B4-4FA8-8F2C-43B804E06742}">
      <text>
        <r>
          <rPr>
            <b/>
            <sz val="9"/>
            <color indexed="81"/>
            <rFont val="Segoe UI"/>
            <family val="2"/>
          </rPr>
          <t>Pedro:</t>
        </r>
        <r>
          <rPr>
            <sz val="9"/>
            <color indexed="81"/>
            <rFont val="Segoe UI"/>
            <family val="2"/>
          </rPr>
          <t xml:space="preserve">
egocn CONSIDERA ESTA MULTA NAS RESCISÕES</t>
        </r>
      </text>
    </comment>
    <comment ref="W125" authorId="1" shapeId="0" xr:uid="{0E03775A-5075-4BF2-AA0C-512CC0385B70}">
      <text>
        <r>
          <rPr>
            <b/>
            <sz val="9"/>
            <color indexed="81"/>
            <rFont val="Segoe UI"/>
            <family val="2"/>
          </rPr>
          <t>Pedro:</t>
        </r>
        <r>
          <rPr>
            <sz val="9"/>
            <color indexed="81"/>
            <rFont val="Segoe UI"/>
            <family val="2"/>
          </rPr>
          <t xml:space="preserve">
Remuneração não entra na conta da rescisão</t>
        </r>
      </text>
    </comment>
    <comment ref="W130" authorId="1" shapeId="0" xr:uid="{BD164800-3143-4E32-9777-86AD3287289C}">
      <text>
        <r>
          <rPr>
            <b/>
            <sz val="9"/>
            <color indexed="81"/>
            <rFont val="Segoe UI"/>
            <family val="2"/>
          </rPr>
          <t>Pedro:</t>
        </r>
        <r>
          <rPr>
            <sz val="9"/>
            <color indexed="81"/>
            <rFont val="Segoe UI"/>
            <family val="2"/>
          </rPr>
          <t xml:space="preserve">
18 meses de período aquisitivo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  <author>Pedro</author>
  </authors>
  <commentList>
    <comment ref="E43" authorId="0" shapeId="0" xr:uid="{471A68CD-34A8-4D22-991C-EE560ED05B08}">
      <text>
        <r>
          <rPr>
            <b/>
            <sz val="9"/>
            <color indexed="81"/>
            <rFont val="Segoe UI"/>
            <family val="2"/>
          </rPr>
          <t>Admin:</t>
        </r>
        <r>
          <rPr>
            <sz val="9"/>
            <color indexed="81"/>
            <rFont val="Segoe UI"/>
            <family val="2"/>
          </rPr>
          <t xml:space="preserve">
1 salário x (1/12) = 0,0833 = 8,33%.  Todavia, observe que apenas no primeiro ano do contrato o empregado tem que trabalhar 12 meses pra gozar férias. 
1 salário x (1/11) = 0,09090 ≈ 9,075%. No segundo ano em diante o empregado trabalha 11 e tira férias, então entende-se que a provisão mais correta seria por 11 meses ao invés de 12. Atente-se que não se pode repactuar o contrato pra aumentar o preço, não dá pra usar os dois. De mais a mais, o órgão que trabalha com conta vinculada é obrigado a reter 12,10% de férias e adicional de férias (1/11 + 1/3/11) por força da norma, a IN 5/2017 em seu anexo XII. 
Pra órgãos que trabalham com Conta Vinculada a soma das Férias (9,075%)+Adicional de Férias(3,025%)=12,10%, conforme Anexo XII da IN 5/2017. Portanto, utilize o percentual de 9,075% ao invés de 8,33% para Férias.</t>
        </r>
      </text>
    </comment>
    <comment ref="E77" authorId="1" shapeId="0" xr:uid="{3C211F7A-D1AC-4F4E-8DC6-0A139E5429CB}">
      <text>
        <r>
          <rPr>
            <b/>
            <sz val="9"/>
            <color indexed="81"/>
            <rFont val="Segoe UI"/>
            <family val="2"/>
          </rPr>
          <t>Pedro:</t>
        </r>
        <r>
          <rPr>
            <sz val="9"/>
            <color indexed="81"/>
            <rFont val="Segoe UI"/>
            <family val="2"/>
          </rPr>
          <t xml:space="preserve">
Fórmula usada pela Vippim, ela difere da padrão e ela dá um % menor que a padrão</t>
        </r>
      </text>
    </comment>
    <comment ref="E80" authorId="1" shapeId="0" xr:uid="{6FF6B4E9-7095-4365-8EEC-64401C532A41}">
      <text>
        <r>
          <rPr>
            <b/>
            <sz val="9"/>
            <color indexed="81"/>
            <rFont val="Segoe UI"/>
            <family val="2"/>
          </rPr>
          <t>Pedro:</t>
        </r>
        <r>
          <rPr>
            <sz val="9"/>
            <color indexed="81"/>
            <rFont val="Segoe UI"/>
            <family val="2"/>
          </rPr>
          <t xml:space="preserve">
Fórmula diferente da padrão, ela dá % menopr que a padrão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  <author>Pedro</author>
  </authors>
  <commentList>
    <comment ref="E43" authorId="0" shapeId="0" xr:uid="{2BF83943-4132-4F60-9328-C8C0363B28B1}">
      <text>
        <r>
          <rPr>
            <b/>
            <sz val="9"/>
            <color indexed="81"/>
            <rFont val="Segoe UI"/>
            <family val="2"/>
          </rPr>
          <t>Admin:</t>
        </r>
        <r>
          <rPr>
            <sz val="9"/>
            <color indexed="81"/>
            <rFont val="Segoe UI"/>
            <family val="2"/>
          </rPr>
          <t xml:space="preserve">
1 salário x (1/12) = 0,0833 = 8,33%.  Todavia, observe que apenas no primeiro ano do contrato o empregado tem que trabalhar 12 meses pra gozar férias. 
1 salário x (1/11) = 0,09090 ≈ 9,075%. No segundo ano em diante o empregado trabalha 11 e tira férias, então entende-se que a provisão mais correta seria por 11 meses ao invés de 12. Atente-se que não se pode repactuar o contrato pra aumentar o preço, não dá pra usar os dois. De mais a mais, o órgão que trabalha com conta vinculada é obrigado a reter 12,10% de férias e adicional de férias (1/11 + 1/3/11) por força da norma, a IN 5/2017 em seu anexo XII. 
Pra órgãos que trabalham com Conta Vinculada a soma das Férias (9,075%)+Adicional de Férias(3,025%)=12,10%, conforme Anexo XII da IN 5/2017. Portanto, utilize o percentual de 9,075% ao invés de 8,33% para Férias.</t>
        </r>
      </text>
    </comment>
    <comment ref="E77" authorId="1" shapeId="0" xr:uid="{3D2681C8-0A68-4B0B-85BE-FD2A58053FAB}">
      <text>
        <r>
          <rPr>
            <b/>
            <sz val="9"/>
            <color indexed="81"/>
            <rFont val="Segoe UI"/>
            <family val="2"/>
          </rPr>
          <t>Pedro:</t>
        </r>
        <r>
          <rPr>
            <sz val="9"/>
            <color indexed="81"/>
            <rFont val="Segoe UI"/>
            <family val="2"/>
          </rPr>
          <t xml:space="preserve">
Fórmula usada pela Vippim, ela difere da padrão e ela dá um % menor que a padrão</t>
        </r>
      </text>
    </comment>
    <comment ref="E80" authorId="1" shapeId="0" xr:uid="{E6953B98-6B6D-4935-B7E4-AB1008D7FBE9}">
      <text>
        <r>
          <rPr>
            <b/>
            <sz val="9"/>
            <color indexed="81"/>
            <rFont val="Segoe UI"/>
            <family val="2"/>
          </rPr>
          <t>Pedro:</t>
        </r>
        <r>
          <rPr>
            <sz val="9"/>
            <color indexed="81"/>
            <rFont val="Segoe UI"/>
            <family val="2"/>
          </rPr>
          <t xml:space="preserve">
Fórmula diferente da padrão, ela dá % menopr que a padrão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  <author>Pedro</author>
  </authors>
  <commentList>
    <comment ref="E43" authorId="0" shapeId="0" xr:uid="{D81318AB-DDD6-4D5C-9CC3-18FF41581278}">
      <text>
        <r>
          <rPr>
            <b/>
            <sz val="9"/>
            <color indexed="81"/>
            <rFont val="Segoe UI"/>
            <family val="2"/>
          </rPr>
          <t>Admin:</t>
        </r>
        <r>
          <rPr>
            <sz val="9"/>
            <color indexed="81"/>
            <rFont val="Segoe UI"/>
            <family val="2"/>
          </rPr>
          <t xml:space="preserve">
1 salário x (1/12) = 0,0833 = 8,33%.  Todavia, observe que apenas no primeiro ano do contrato o empregado tem que trabalhar 12 meses pra gozar férias. 
1 salário x (1/11) = 0,09090 ≈ 9,075%. No segundo ano em diante o empregado trabalha 11 e tira férias, então entende-se que a provisão mais correta seria por 11 meses ao invés de 12. Atente-se que não se pode repactuar o contrato pra aumentar o preço, não dá pra usar os dois. De mais a mais, o órgão que trabalha com conta vinculada é obrigado a reter 12,10% de férias e adicional de férias (1/11 + 1/3/11) por força da norma, a IN 5/2017 em seu anexo XII. 
Pra órgãos que trabalham com Conta Vinculada a soma das Férias (9,075%)+Adicional de Férias(3,025%)=12,10%, conforme Anexo XII da IN 5/2017. Portanto, utilize o percentual de 9,075% ao invés de 8,33% para Férias.</t>
        </r>
      </text>
    </comment>
    <comment ref="E77" authorId="1" shapeId="0" xr:uid="{593E7719-F0EB-49B0-85D5-EA3B4DD9C7CC}">
      <text>
        <r>
          <rPr>
            <b/>
            <sz val="9"/>
            <color indexed="81"/>
            <rFont val="Segoe UI"/>
            <family val="2"/>
          </rPr>
          <t>Pedro:</t>
        </r>
        <r>
          <rPr>
            <sz val="9"/>
            <color indexed="81"/>
            <rFont val="Segoe UI"/>
            <family val="2"/>
          </rPr>
          <t xml:space="preserve">
Fórmula usada pela Vippim, ela difere da padrão e ela dá um % menor que a padrão</t>
        </r>
      </text>
    </comment>
    <comment ref="E80" authorId="1" shapeId="0" xr:uid="{08E51569-3FAB-49CE-A4F6-7FE6C663EAC1}">
      <text>
        <r>
          <rPr>
            <b/>
            <sz val="9"/>
            <color indexed="81"/>
            <rFont val="Segoe UI"/>
            <family val="2"/>
          </rPr>
          <t>Pedro:</t>
        </r>
        <r>
          <rPr>
            <sz val="9"/>
            <color indexed="81"/>
            <rFont val="Segoe UI"/>
            <family val="2"/>
          </rPr>
          <t xml:space="preserve">
Fórmula diferente da padrão, ela dá % menopr que a padrão</t>
        </r>
      </text>
    </comment>
    <comment ref="L132" authorId="1" shapeId="0" xr:uid="{AFC93807-DDEE-45D1-AB71-893AB0C932E7}">
      <text>
        <r>
          <rPr>
            <b/>
            <sz val="9"/>
            <color indexed="81"/>
            <rFont val="Segoe UI"/>
            <charset val="1"/>
          </rPr>
          <t>Pedro:</t>
        </r>
        <r>
          <rPr>
            <sz val="9"/>
            <color indexed="81"/>
            <rFont val="Segoe UI"/>
            <charset val="1"/>
          </rPr>
          <t xml:space="preserve">
Na planilha da empresa tem  mais 1 centavo na fórmula
</t>
        </r>
      </text>
    </comment>
    <comment ref="N132" authorId="1" shapeId="0" xr:uid="{FCB5EE78-BF77-496C-ABFA-F1599E997B7E}">
      <text>
        <r>
          <rPr>
            <b/>
            <sz val="9"/>
            <color indexed="81"/>
            <rFont val="Segoe UI"/>
            <charset val="1"/>
          </rPr>
          <t>Pedro:</t>
        </r>
        <r>
          <rPr>
            <sz val="9"/>
            <color indexed="81"/>
            <rFont val="Segoe UI"/>
            <charset val="1"/>
          </rPr>
          <t xml:space="preserve">
Na planilha da empresa tem  mais 1 centavo na fórmula
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  <author>Pedro</author>
  </authors>
  <commentList>
    <comment ref="E43" authorId="0" shapeId="0" xr:uid="{9DC4897A-CBC8-4B27-AEBE-4F230476AEF4}">
      <text>
        <r>
          <rPr>
            <b/>
            <sz val="9"/>
            <color indexed="81"/>
            <rFont val="Segoe UI"/>
            <family val="2"/>
          </rPr>
          <t>Admin:</t>
        </r>
        <r>
          <rPr>
            <sz val="9"/>
            <color indexed="81"/>
            <rFont val="Segoe UI"/>
            <family val="2"/>
          </rPr>
          <t xml:space="preserve">
1 salário x (1/12) = 0,0833 = 8,33%.  Todavia, observe que apenas no primeiro ano do contrato o empregado tem que trabalhar 12 meses pra gozar férias. 
1 salário x (1/11) = 0,09090 ≈ 9,075%. No segundo ano em diante o empregado trabalha 11 e tira férias, então entende-se que a provisão mais correta seria por 11 meses ao invés de 12. Atente-se que não se pode repactuar o contrato pra aumentar o preço, não dá pra usar os dois. De mais a mais, o órgão que trabalha com conta vinculada é obrigado a reter 12,10% de férias e adicional de férias (1/11 + 1/3/11) por força da norma, a IN 5/2017 em seu anexo XII. 
Pra órgãos que trabalham com Conta Vinculada a soma das Férias (9,075%)+Adicional de Férias(3,025%)=12,10%, conforme Anexo XII da IN 5/2017. Portanto, utilize o percentual de 9,075% ao invés de 8,33% para Férias.</t>
        </r>
      </text>
    </comment>
    <comment ref="E77" authorId="1" shapeId="0" xr:uid="{8564A5A7-F1E2-49B1-8FEE-09F085DF202F}">
      <text>
        <r>
          <rPr>
            <b/>
            <sz val="9"/>
            <color indexed="81"/>
            <rFont val="Segoe UI"/>
            <family val="2"/>
          </rPr>
          <t>Pedro:</t>
        </r>
        <r>
          <rPr>
            <sz val="9"/>
            <color indexed="81"/>
            <rFont val="Segoe UI"/>
            <family val="2"/>
          </rPr>
          <t xml:space="preserve">
Fórmula usada pela Vippim, ela difere da padrão e ela dá um % menor que a padrão</t>
        </r>
      </text>
    </comment>
    <comment ref="E80" authorId="1" shapeId="0" xr:uid="{DA8EF135-66BD-4CD6-B76E-8BD0C0EFCEBA}">
      <text>
        <r>
          <rPr>
            <b/>
            <sz val="9"/>
            <color indexed="81"/>
            <rFont val="Segoe UI"/>
            <family val="2"/>
          </rPr>
          <t>Pedro:</t>
        </r>
        <r>
          <rPr>
            <sz val="9"/>
            <color indexed="81"/>
            <rFont val="Segoe UI"/>
            <family val="2"/>
          </rPr>
          <t xml:space="preserve">
Fórmula diferente da padrão, ela dá % menopr que a padrão</t>
        </r>
      </text>
    </comment>
    <comment ref="L132" authorId="1" shapeId="0" xr:uid="{264943A8-9343-4396-B86E-3485138F9CAC}">
      <text>
        <r>
          <rPr>
            <b/>
            <sz val="9"/>
            <color indexed="81"/>
            <rFont val="Segoe UI"/>
            <charset val="1"/>
          </rPr>
          <t>Pedro:</t>
        </r>
        <r>
          <rPr>
            <sz val="9"/>
            <color indexed="81"/>
            <rFont val="Segoe UI"/>
            <charset val="1"/>
          </rPr>
          <t xml:space="preserve">
Na fórmula da planilha da empresa tem menos 2 centavos </t>
        </r>
      </text>
    </comment>
    <comment ref="N132" authorId="1" shapeId="0" xr:uid="{6D4B63C1-EEFB-4321-B10C-78350A0D5051}">
      <text>
        <r>
          <rPr>
            <b/>
            <sz val="9"/>
            <color indexed="81"/>
            <rFont val="Segoe UI"/>
            <charset val="1"/>
          </rPr>
          <t>Pedro:</t>
        </r>
        <r>
          <rPr>
            <sz val="9"/>
            <color indexed="81"/>
            <rFont val="Segoe UI"/>
            <charset val="1"/>
          </rPr>
          <t xml:space="preserve">
Na fórmula da planilha da empresa tem menos 2 centavos 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  <author>Pedro</author>
  </authors>
  <commentList>
    <comment ref="E43" authorId="0" shapeId="0" xr:uid="{45671132-AEBC-429C-B260-8FEA4A0B4F9A}">
      <text>
        <r>
          <rPr>
            <b/>
            <sz val="9"/>
            <color indexed="81"/>
            <rFont val="Segoe UI"/>
            <family val="2"/>
          </rPr>
          <t>Admin:</t>
        </r>
        <r>
          <rPr>
            <sz val="9"/>
            <color indexed="81"/>
            <rFont val="Segoe UI"/>
            <family val="2"/>
          </rPr>
          <t xml:space="preserve">
1 salário x (1/12) = 0,0833 = 8,33%.  Todavia, observe que apenas no primeiro ano do contrato o empregado tem que trabalhar 12 meses pra gozar férias. 
1 salário x (1/11) = 0,09090 ≈ 9,075%. No segundo ano em diante o empregado trabalha 11 e tira férias, então entende-se que a provisão mais correta seria por 11 meses ao invés de 12. Atente-se que não se pode repactuar o contrato pra aumentar o preço, não dá pra usar os dois. De mais a mais, o órgão que trabalha com conta vinculada é obrigado a reter 12,10% de férias e adicional de férias (1/11 + 1/3/11) por força da norma, a IN 5/2017 em seu anexo XII. 
Pra órgãos que trabalham com Conta Vinculada a soma das Férias (9,075%)+Adicional de Férias(3,025%)=12,10%, conforme Anexo XII da IN 5/2017. Portanto, utilize o percentual de 9,075% ao invés de 8,33% para Férias.</t>
        </r>
      </text>
    </comment>
    <comment ref="E77" authorId="1" shapeId="0" xr:uid="{0624F350-66D9-4D80-8937-F136DBAFAC57}">
      <text>
        <r>
          <rPr>
            <b/>
            <sz val="9"/>
            <color indexed="81"/>
            <rFont val="Segoe UI"/>
            <family val="2"/>
          </rPr>
          <t>Pedro:</t>
        </r>
        <r>
          <rPr>
            <sz val="9"/>
            <color indexed="81"/>
            <rFont val="Segoe UI"/>
            <family val="2"/>
          </rPr>
          <t xml:space="preserve">
Fórmula usada pela Vippim, ela difere da padrão e ela dá um % menor que a padrão</t>
        </r>
      </text>
    </comment>
    <comment ref="E80" authorId="1" shapeId="0" xr:uid="{03B6F6C9-27E8-419B-9531-2339AF5A11FA}">
      <text>
        <r>
          <rPr>
            <b/>
            <sz val="9"/>
            <color indexed="81"/>
            <rFont val="Segoe UI"/>
            <family val="2"/>
          </rPr>
          <t>Pedro:</t>
        </r>
        <r>
          <rPr>
            <sz val="9"/>
            <color indexed="81"/>
            <rFont val="Segoe UI"/>
            <family val="2"/>
          </rPr>
          <t xml:space="preserve">
Fórmula diferente da padrão, ela dá % menopr que a padrão</t>
        </r>
      </text>
    </comment>
    <comment ref="L132" authorId="1" shapeId="0" xr:uid="{EA00C85D-D3EB-4273-8899-E57CB21252C5}">
      <text>
        <r>
          <rPr>
            <b/>
            <sz val="9"/>
            <color indexed="81"/>
            <rFont val="Segoe UI"/>
            <charset val="1"/>
          </rPr>
          <t>Pedro:</t>
        </r>
        <r>
          <rPr>
            <sz val="9"/>
            <color indexed="81"/>
            <rFont val="Segoe UI"/>
            <charset val="1"/>
          </rPr>
          <t xml:space="preserve">
Na fórmual da empresa tem menos 1 centavo</t>
        </r>
      </text>
    </comment>
    <comment ref="N132" authorId="1" shapeId="0" xr:uid="{8F5B0D4A-4F0A-4742-9D09-16A0134F8AC5}">
      <text>
        <r>
          <rPr>
            <b/>
            <sz val="9"/>
            <color indexed="81"/>
            <rFont val="Segoe UI"/>
            <charset val="1"/>
          </rPr>
          <t>Pedro:</t>
        </r>
        <r>
          <rPr>
            <sz val="9"/>
            <color indexed="81"/>
            <rFont val="Segoe UI"/>
            <charset val="1"/>
          </rPr>
          <t xml:space="preserve">
Na fórmual da empresa tem menos 1 centavo</t>
        </r>
      </text>
    </comment>
  </commentList>
</comments>
</file>

<file path=xl/sharedStrings.xml><?xml version="1.0" encoding="utf-8"?>
<sst xmlns="http://schemas.openxmlformats.org/spreadsheetml/2006/main" count="2747" uniqueCount="296">
  <si>
    <t>Lucro</t>
  </si>
  <si>
    <t>A</t>
  </si>
  <si>
    <t>B</t>
  </si>
  <si>
    <t>Município/UF</t>
  </si>
  <si>
    <t>C</t>
  </si>
  <si>
    <t>D</t>
  </si>
  <si>
    <t>E</t>
  </si>
  <si>
    <t>F</t>
  </si>
  <si>
    <t>G</t>
  </si>
  <si>
    <t>Data base da categoria (dia/mês/ano)</t>
  </si>
  <si>
    <t>Adicional Noturno</t>
  </si>
  <si>
    <t>Outros (especificar)</t>
  </si>
  <si>
    <t>H</t>
  </si>
  <si>
    <t>%</t>
  </si>
  <si>
    <t>Tributos</t>
  </si>
  <si>
    <t>Insumos Diversos</t>
  </si>
  <si>
    <t>Total</t>
  </si>
  <si>
    <t>ADVOCACIA-GERAL DA UNIÃO</t>
  </si>
  <si>
    <t>SECRETARIA-GERAL DE ADMINISTRAÇÃO</t>
  </si>
  <si>
    <t>SUPERINTENDÊNCIA DE ADMINISTRAÇÃO NO DISTRITO FEDERAL</t>
  </si>
  <si>
    <t>Nº do processo</t>
  </si>
  <si>
    <t>Data da apresentação da proposta</t>
  </si>
  <si>
    <t>Ano - Acordo, Convenção ou Sentença Normativa em dissídio Coletivo</t>
  </si>
  <si>
    <t>Número de meses de execução contratual</t>
  </si>
  <si>
    <t>Tipo de Serviço</t>
  </si>
  <si>
    <t>Unidade de Medida</t>
  </si>
  <si>
    <t>Quantidade Total a Contratar</t>
  </si>
  <si>
    <t>Dados complementares para composição dos custos referentes à mão-de-obra</t>
  </si>
  <si>
    <t>Tipo de Serviço (mesmo serviço com características distintas)</t>
  </si>
  <si>
    <t>Salário Normativo da Categoria Profissional</t>
  </si>
  <si>
    <t>Categoria Profissional (vinculada à execução contratual)</t>
  </si>
  <si>
    <t>Salário Base</t>
  </si>
  <si>
    <t>PLANILHA DE CUSTOS E FORMAÇÃO DE PREÇOS</t>
  </si>
  <si>
    <t>DISCRIMINAÇÃO DOS SERVIÇOS (dados referentes à contratação)</t>
  </si>
  <si>
    <t>IDENTIFICAÇÃO DO SERVIÇO</t>
  </si>
  <si>
    <t>VALOR (R$)</t>
  </si>
  <si>
    <t>Transporte</t>
  </si>
  <si>
    <t>Outros</t>
  </si>
  <si>
    <t>Uniforme</t>
  </si>
  <si>
    <t>Equipamentos</t>
  </si>
  <si>
    <t>Total da Remuneração</t>
  </si>
  <si>
    <t>INSS</t>
  </si>
  <si>
    <t>INCRA</t>
  </si>
  <si>
    <t>FGTS</t>
  </si>
  <si>
    <t>SEBRAE</t>
  </si>
  <si>
    <t>Provisão para Rescisão</t>
  </si>
  <si>
    <t>Ausências Legais</t>
  </si>
  <si>
    <t>Custo de Reposição do Profissional Ausente</t>
  </si>
  <si>
    <t>4.1</t>
  </si>
  <si>
    <t>4.2</t>
  </si>
  <si>
    <t>Custos Indiretos</t>
  </si>
  <si>
    <t>Valor Total por Empregado</t>
  </si>
  <si>
    <t>Módulo 1</t>
  </si>
  <si>
    <t>Módulo 2</t>
  </si>
  <si>
    <t>Módulo 3</t>
  </si>
  <si>
    <t>Módulo 4</t>
  </si>
  <si>
    <t>Módulo 5</t>
  </si>
  <si>
    <t>Composição da Remuneração</t>
  </si>
  <si>
    <t>Benefícios Mensais e Diários</t>
  </si>
  <si>
    <t>Custos Indiretos, Tributos e Lucro</t>
  </si>
  <si>
    <t xml:space="preserve"> </t>
  </si>
  <si>
    <t>Valor Proposto por Empregado</t>
  </si>
  <si>
    <t>Quantidade de empregados por posto</t>
  </si>
  <si>
    <t>Valor Proposto por Posto</t>
  </si>
  <si>
    <t>Quantidade de Postos</t>
  </si>
  <si>
    <t>Valor Total do Serviço</t>
  </si>
  <si>
    <t>Posto</t>
  </si>
  <si>
    <t>Incidência do FGTS sobre o Aviso Prévio Indenizado</t>
  </si>
  <si>
    <t>VALOR ATUAL DO CONTRATO</t>
  </si>
  <si>
    <t>VALOR PROPOSTO PELA EMPRESA</t>
  </si>
  <si>
    <t>SECRETARIA-GERAL DE ADMNISTRAÇÃO</t>
  </si>
  <si>
    <t xml:space="preserve">   </t>
  </si>
  <si>
    <t>Contrato nº</t>
  </si>
  <si>
    <t>Adicional de Periculosidade (30%)</t>
  </si>
  <si>
    <t>Adicional de Insalalubridade (40%, 20% ou 10%)</t>
  </si>
  <si>
    <t>Brasília/DF</t>
  </si>
  <si>
    <t>VALOR TOTAL RETROATIVO</t>
  </si>
  <si>
    <t>VIGENTE</t>
  </si>
  <si>
    <t>EMPRESA</t>
  </si>
  <si>
    <t>ECONT</t>
  </si>
  <si>
    <t>Adicional de Hora Noturna Reduzida</t>
  </si>
  <si>
    <t>Adicional de Hora Extra no Feriado Trabalhado</t>
  </si>
  <si>
    <t>MÓDULO 1 - COMPOSIÇÃO DA REMUNERAÇÃO</t>
  </si>
  <si>
    <t>MÓDULO 2 - ENCARGOS E BENEFÍCIOS ANUAIS, MENSAIS E DIÁRIOS</t>
  </si>
  <si>
    <t>2.1</t>
  </si>
  <si>
    <r>
      <t>Submódulo 2.1 - 13</t>
    </r>
    <r>
      <rPr>
        <b/>
        <sz val="11"/>
        <rFont val="Calibri"/>
        <family val="2"/>
      </rPr>
      <t>°</t>
    </r>
    <r>
      <rPr>
        <b/>
        <sz val="11"/>
        <rFont val="Arial"/>
        <family val="2"/>
      </rPr>
      <t xml:space="preserve"> (décima terceiro) Salário, Férias e Adicional de Férias</t>
    </r>
  </si>
  <si>
    <t>13° (décima terceiro) Salário, Férias e Adicional de Férias</t>
  </si>
  <si>
    <t xml:space="preserve">13º (décimo terceiro) Salário </t>
  </si>
  <si>
    <t>Férias e Adicional de Férias</t>
  </si>
  <si>
    <t>Submódulo 2.2 - Encargos Previdenciários (GPS), Fundo de Garantia por Tempo de Serviço (FGTS) e outras contribuições</t>
  </si>
  <si>
    <t>2.2</t>
  </si>
  <si>
    <t>GPS, FGTS, e outras contribuições</t>
  </si>
  <si>
    <t>Salário Educação</t>
  </si>
  <si>
    <t>SAT</t>
  </si>
  <si>
    <t>SESC ou SESI</t>
  </si>
  <si>
    <t>SENAI - SENAC</t>
  </si>
  <si>
    <t>Submódulo 2.3 - Benefícios Mensais e Diários</t>
  </si>
  <si>
    <t>2.3</t>
  </si>
  <si>
    <t>Auxílio Refeição / Alimentação</t>
  </si>
  <si>
    <t>Quadro Resumo do Módulo 2 - Encargos e Benefícios Anuais, Mensais e Diários</t>
  </si>
  <si>
    <t>Encargos e Benefícios Anuais, Mensais e Diários</t>
  </si>
  <si>
    <t>MÓDULO 3 - PROVISÃO PARA RESCISÃO</t>
  </si>
  <si>
    <t>Aviso Prévio Trabalhado (A.P.T)</t>
  </si>
  <si>
    <t>Incidência dos encargos do submód. 2.2 sobre o A.P.T</t>
  </si>
  <si>
    <t>Aviso Prévio Indenizado (A.P.I)</t>
  </si>
  <si>
    <t>MÓDULO 4 - CUSTO DE REPOSIÇÃO DO PROFISSIONAL AUSENTE</t>
  </si>
  <si>
    <t>Submódulo 4.1 - Ausências Legais</t>
  </si>
  <si>
    <t>Submódulo 4.2 - Intrajornada</t>
  </si>
  <si>
    <t>Intrajornada</t>
  </si>
  <si>
    <t>Intervalo para repouso e alimentação</t>
  </si>
  <si>
    <t>Quadro Resumo do Módulo 4 - Custo de Reposição do Profissional Ausente</t>
  </si>
  <si>
    <t>MÓDULO 5 - INSUMOS DIVERSOS</t>
  </si>
  <si>
    <t>Item</t>
  </si>
  <si>
    <t>Valor Unitário</t>
  </si>
  <si>
    <t>Valor Total</t>
  </si>
  <si>
    <t>Calça</t>
  </si>
  <si>
    <t>Cinto</t>
  </si>
  <si>
    <t>Coturno</t>
  </si>
  <si>
    <t>Descrição</t>
  </si>
  <si>
    <t>Depreciação</t>
  </si>
  <si>
    <t>C.1 Tributos Federais (especificar)</t>
  </si>
  <si>
    <t>C.2 Tributos Estaduais (especificar)</t>
  </si>
  <si>
    <t>C.3 Tributos Municipais (epecificar)</t>
  </si>
  <si>
    <t>Subtotal (A + B + C+ D+E)</t>
  </si>
  <si>
    <t>MÓDULO 6 - CUSTOS INDIRETOS, TRIBUTOS E LUCRO</t>
  </si>
  <si>
    <t>2. QUADRO RESUMO DO CUSTO POR EMPREGADO</t>
  </si>
  <si>
    <t>EQUIPE DE CONTRATOS</t>
  </si>
  <si>
    <t>Mão de obra vinculada à execução contratual</t>
  </si>
  <si>
    <t>Módulo 6</t>
  </si>
  <si>
    <t>VALOR TOTAL MENSAL</t>
  </si>
  <si>
    <t>Quadro Resumo do Valor Mensal dos Serviços</t>
  </si>
  <si>
    <t>APOSTILAMENTO</t>
  </si>
  <si>
    <t>INSTRUMENTO CONTRATUAL</t>
  </si>
  <si>
    <t>PERÍODO REPACTUADO</t>
  </si>
  <si>
    <t>MÊS DE REFERÊNCIA</t>
  </si>
  <si>
    <t>PERÍODO - NÚMERO DE DIAS</t>
  </si>
  <si>
    <t>VALOR PAGO</t>
  </si>
  <si>
    <t>VALOR REPACTUADO</t>
  </si>
  <si>
    <t>DIFERENÇA - PAGO/REPACTUADO</t>
  </si>
  <si>
    <t>mês completo</t>
  </si>
  <si>
    <t>Equipe de Contratos</t>
  </si>
  <si>
    <t>PEDRO HENRIQUE DE SOARES E MAIA</t>
  </si>
  <si>
    <t>11 a 31 (20 dias)</t>
  </si>
  <si>
    <t>Memória Cálculo Retroativo Contrato n° 018/2018-AGU - 11/05/2018 a 31/12/2018</t>
  </si>
  <si>
    <t>1º Termo Aditivo</t>
  </si>
  <si>
    <t>12 a 31 (19 dias)</t>
  </si>
  <si>
    <t>1º a 11 (10 dias)</t>
  </si>
  <si>
    <t>VALOR GLOBAL DA PROPOSTA (Valor Mensal x 12 meses)</t>
  </si>
  <si>
    <t>2° Termo de Apostilamento</t>
  </si>
  <si>
    <t>de 1ª/01 a 11/05/2019</t>
  </si>
  <si>
    <t>11 dias</t>
  </si>
  <si>
    <t>Termo Inicial (11/05/2018 a 11/05/2019)</t>
  </si>
  <si>
    <t>1ª Aditivo (12/05/2019 a 12/05/2020)</t>
  </si>
  <si>
    <t>2ª Aditivo (11/05/2020 a 11/05/2021)</t>
  </si>
  <si>
    <t>de 12/05 a 31/12/2019</t>
  </si>
  <si>
    <t>A partir de 1º/01/2020</t>
  </si>
  <si>
    <t>19 dias</t>
  </si>
  <si>
    <t>DIFERENÇA PAGO / REPACTUADO</t>
  </si>
  <si>
    <t>Vigilante Diurno 12x36 Desarmado</t>
  </si>
  <si>
    <t>B.1</t>
  </si>
  <si>
    <t>Desconto do PAT 2% (§ 2º da Cláusula 12ª )</t>
  </si>
  <si>
    <t>Seguro de Vida</t>
  </si>
  <si>
    <t>Multa do FGTS sobre o A.P.I.</t>
  </si>
  <si>
    <t>Multa do FGTS sobre o A.P.T</t>
  </si>
  <si>
    <t>Substituto na Cobertura de Férias</t>
  </si>
  <si>
    <t>Substituto na Cobertura de Ausências Legais</t>
  </si>
  <si>
    <t>Substituto na Cobertura de Licença Paternidade</t>
  </si>
  <si>
    <t>Substituto na Cobertura de Ausência por Acidente de Trabalho</t>
  </si>
  <si>
    <t>Substituto na Cobertura de Afastamento Maternidade</t>
  </si>
  <si>
    <t>Substituto na Cobertura de Outras Ausências (especificar)</t>
  </si>
  <si>
    <t>UNIFORME OSTENSIVO</t>
  </si>
  <si>
    <t>Peças</t>
  </si>
  <si>
    <t>Qtde Anual</t>
  </si>
  <si>
    <t>Unitário</t>
  </si>
  <si>
    <t>Periodicidade</t>
  </si>
  <si>
    <t>Camisa</t>
  </si>
  <si>
    <t>semestral</t>
  </si>
  <si>
    <t>Meias</t>
  </si>
  <si>
    <t>Capa de chuva</t>
  </si>
  <si>
    <t>anual</t>
  </si>
  <si>
    <t>Japona</t>
  </si>
  <si>
    <t>capa balística</t>
  </si>
  <si>
    <t>prendedor de cabelo</t>
  </si>
  <si>
    <t>TOTAL UNIFORME DO POSTO</t>
  </si>
  <si>
    <t>UNIFORME SOCIAL</t>
  </si>
  <si>
    <t>Paletó</t>
  </si>
  <si>
    <t>Camisa Social</t>
  </si>
  <si>
    <t>Meia</t>
  </si>
  <si>
    <t>Cinto de couro</t>
  </si>
  <si>
    <t>Gravata</t>
  </si>
  <si>
    <t>Sapato Social</t>
  </si>
  <si>
    <t>Categoria</t>
  </si>
  <si>
    <t>Qtde Semestral</t>
  </si>
  <si>
    <t>EQUIPAMENTOS VIGILÂNCIA ARMADA</t>
  </si>
  <si>
    <t>Esta empresa está calculando  os valores referentes a depreciação dos equipamentos depreciáveis que serão colocados a disposição do Órgão para a perfeita execução dos serviços, já que não é correto cobrar o rateio do custo de aquisição do equipamento, se assim o fizesse, seria o caso de ter que deixá-lo à disposição do Órgão ou transferir sua propriedade após 1 ano, o que não é o caso, já que os equipamentos listados abaixo são de propriedade desta empresa. Sendo assim, a memória de cálculos para esse item é:</t>
  </si>
  <si>
    <t>Memória de Cálculos: (Custo Unitário x Qtde) * (100% - Depreciação) / (Vida útil * 12) = Valor Mensal</t>
  </si>
  <si>
    <t>Qtde</t>
  </si>
  <si>
    <t>Vida útil em anos</t>
  </si>
  <si>
    <t>Valor anual</t>
  </si>
  <si>
    <t>Apito</t>
  </si>
  <si>
    <t>Cassetete</t>
  </si>
  <si>
    <t>Cinto com coldre e baleiro</t>
  </si>
  <si>
    <t>Colete Balístico com capa</t>
  </si>
  <si>
    <t>Cordão de Apito</t>
  </si>
  <si>
    <t>Guarda chuva</t>
  </si>
  <si>
    <t>Lanterna</t>
  </si>
  <si>
    <t>Livros de ocorrência</t>
  </si>
  <si>
    <t>Munição calibre 38</t>
  </si>
  <si>
    <t>Pilhas para lanterna</t>
  </si>
  <si>
    <t>Porta cassetete</t>
  </si>
  <si>
    <t>Rádio portátil</t>
  </si>
  <si>
    <t>Registro de arma - O Decreto nº 9.685/19, que alterou o Decreto nº 5.123/04, estabeleceu que os Certificados de Registro de Arma de Fogo válidos até a data de sua publicação, em 15 de janeiro de 2019, foram automaticamente renovados pelo prazo remanescente até completarem 10 (dez) anos</t>
  </si>
  <si>
    <t>Revólver calibre 38</t>
  </si>
  <si>
    <t>Total do Conjunto</t>
  </si>
  <si>
    <r>
      <t xml:space="preserve">Total do Conjunto dividido pela quantidade de vigilantes </t>
    </r>
    <r>
      <rPr>
        <b/>
        <sz val="9"/>
        <rFont val="Verdana"/>
        <family val="2"/>
      </rPr>
      <t>por posto</t>
    </r>
  </si>
  <si>
    <t>EQUIPAMENTOS VIGILÂNCIA DESARMADA</t>
  </si>
  <si>
    <t>DEMAIS EQUIPAMENTOS</t>
  </si>
  <si>
    <t>Valor Mensal</t>
  </si>
  <si>
    <t>Relógio de ponto</t>
  </si>
  <si>
    <t xml:space="preserve">  </t>
  </si>
  <si>
    <t>Demais Equipamentos (Relógio de ponto)</t>
  </si>
  <si>
    <t>00676.000395/2020-50</t>
  </si>
  <si>
    <t>39/2020</t>
  </si>
  <si>
    <t>Vigilante Diurno 12x36 Armado</t>
  </si>
  <si>
    <t>Vigilante Noturno 12x36 Desarmado</t>
  </si>
  <si>
    <t>Vigilante Noturno 12x36 Armado</t>
  </si>
  <si>
    <t>Vigilante Diurno 44h Desarmado</t>
  </si>
  <si>
    <t>Encarregado Diurno 12x36</t>
  </si>
  <si>
    <t>Encarregado Noturno 12x36</t>
  </si>
  <si>
    <t>039/2020</t>
  </si>
  <si>
    <t>Vigilância Diurna 12x26 Desarmada</t>
  </si>
  <si>
    <t>Vigilância Diurna 12x26 Armada</t>
  </si>
  <si>
    <t>Vigilância Noturna 12x26 Desarmada</t>
  </si>
  <si>
    <t>Vigilância Noturna 12x26 Armada</t>
  </si>
  <si>
    <t>Vigilância Diurna 44h Desarmada</t>
  </si>
  <si>
    <t>Encarregado Diurno 12x36 Desarmado</t>
  </si>
  <si>
    <t>Encarregado Noturno 12x36 Desarmado</t>
  </si>
  <si>
    <t>VALOR GLOBAL DA PROPOSTA (Valor mensal x 12 meses)</t>
  </si>
  <si>
    <t>Quant. Postos</t>
  </si>
  <si>
    <t>Quant. por posto</t>
  </si>
  <si>
    <t>PERÍODO</t>
  </si>
  <si>
    <t>Data da apresentação da repactuação</t>
  </si>
  <si>
    <t>Repactuação 2022</t>
  </si>
  <si>
    <t>Repactuação 2021</t>
  </si>
  <si>
    <t>Data de apresentação da repactuação</t>
  </si>
  <si>
    <t>Valor Inicial</t>
  </si>
  <si>
    <t>1º Aditivo (13/07/2021 a 12/07/2022)</t>
  </si>
  <si>
    <t>Exercício 2022</t>
  </si>
  <si>
    <t>12 dias</t>
  </si>
  <si>
    <t>Fato Gerador Rescisão Jan 2022</t>
  </si>
  <si>
    <t>No processo dia que o Jose Risomar é Diurno Desarmado, mas nas planilha ele está como Diurno Armado</t>
  </si>
  <si>
    <t>Memória Cálculo Retroativo Contrato n° 039/2020-AGU - 11/05/2022 a 12/07/2023 - Registro Siafiweb do acréscimo</t>
  </si>
  <si>
    <t>20 dias</t>
  </si>
  <si>
    <t>2º Aditivo (13/07/2022 a 12/07/2023)</t>
  </si>
  <si>
    <t>18 dias</t>
  </si>
  <si>
    <t>VALOR SEM ACRÉSCIMO</t>
  </si>
  <si>
    <t>VALOR COM ACRÉSCIMO</t>
  </si>
  <si>
    <t>DIFERENÇA</t>
  </si>
  <si>
    <t>Empresa nos subsidiar para a inclusão do supervisor</t>
  </si>
  <si>
    <t>O acréscimo deve ser para resolver a siutação da intrajornada do contrato, a fim de não ficar posto sem cobertura surante a pausa do almoço</t>
  </si>
  <si>
    <t>Valot inicial</t>
  </si>
  <si>
    <t>Valor Acrescimo vigilante</t>
  </si>
  <si>
    <t>Alcemir inicial</t>
  </si>
  <si>
    <t>Alcemir 2º acréscimo</t>
  </si>
  <si>
    <t>Valor do Contrato Atualizado 2022</t>
  </si>
  <si>
    <t>Acréscimos</t>
  </si>
  <si>
    <t>1º Acréscimo</t>
  </si>
  <si>
    <t>2º Acréscimo (Proposta Atual)</t>
  </si>
  <si>
    <t>Acréscimos Acumulados</t>
  </si>
  <si>
    <t>Valor do Contrato com Acréscimo</t>
  </si>
  <si>
    <t>Repactuação 2023</t>
  </si>
  <si>
    <t>Fato Gerador Jan 2023</t>
  </si>
  <si>
    <t>Fato Gerador Férias Jan 2023</t>
  </si>
  <si>
    <t>A partir de 1º/01/2023</t>
  </si>
  <si>
    <t>Em vermelho, planilha está certa, mas não teve estes eventos em 2023, apenas em 2022</t>
  </si>
  <si>
    <t>Fato Gerador Substituto Jan 2023</t>
  </si>
  <si>
    <t>Fato Gerador Férias Jan  2023</t>
  </si>
  <si>
    <t>FG Substituto Jan 2023</t>
  </si>
  <si>
    <t>valor por dia</t>
  </si>
  <si>
    <t>valor para 2 dias</t>
  </si>
  <si>
    <t>valor para 1 dia</t>
  </si>
  <si>
    <t>Imagina-se que Egcon/Empresa calcularam a substituição por óbito da fatura de Março sob o Noturno Armado ao invés do Diurno armado</t>
  </si>
  <si>
    <t>Fato Gerador Jan Fev 2023</t>
  </si>
  <si>
    <t>FG Substituto Jan 2022</t>
  </si>
  <si>
    <t>Fato Gerador Férias Março 2023</t>
  </si>
  <si>
    <t>FG Substituto Abril 2023</t>
  </si>
  <si>
    <t>Memória Cálculo Retroativo Contrato n° 039/2020-AGU - 1ª/01 a 30/06/2023 - Nota Fiscal Empresa</t>
  </si>
  <si>
    <t>Exercício 2023</t>
  </si>
  <si>
    <t>Vou ter que separar por centro de custo</t>
  </si>
  <si>
    <t>empresa não considerou os poucos dias de trablçho dos substitutos na planilha dela</t>
  </si>
  <si>
    <t>4º Aditivo (13/07/2023 a 12/07/2024)</t>
  </si>
  <si>
    <t>Memória Cálculo Retroativo Contrato n° 039/2020-AGU - 1ª/01/2023 a 12/07/2024 - Nota Fiscal Empresa</t>
  </si>
  <si>
    <t>Repactuação 2024</t>
  </si>
  <si>
    <t>1º/01/2024</t>
  </si>
  <si>
    <t>DF000333/2024</t>
  </si>
  <si>
    <t>QUADRO RESUMO - a partir de 1º/01/2024 - Repactuação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</si>
</sst>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0.0000%"/>
    <numFmt numFmtId="167" formatCode="_-&quot;R$&quot;\ * #,##0.0000_-;\-&quot;R$&quot;\ * #,##0.0000_-;_-&quot;R$&quot;\ * &quot;-&quot;??_-;_-@_-"/>
    <numFmt numFmtId="168" formatCode="0.000%"/>
    <numFmt numFmtId="169" formatCode="mmmm\,\ yyyy;@"/>
    <numFmt numFmtId="170" formatCode="0.0%"/>
    <numFmt numFmtId="171" formatCode="00"/>
    <numFmt numFmtId="172" formatCode="_(&quot;R$&quot;* #,##0.00_);_(&quot;R$&quot;* \(#,##0.00\);_(&quot;R$&quot;* &quot;-&quot;??_);_(@_)"/>
    <numFmt numFmtId="173" formatCode="&quot;R$&quot;\ #,##0.00"/>
    <numFmt numFmtId="174" formatCode="0.0000"/>
    <numFmt numFmtId="175" formatCode="_(&quot;R$ &quot;* #,##0.00000_);_(&quot;R$ &quot;* \(#,##0.00000\);_(&quot;R$ &quot;* &quot;-&quot;??_);_(@_)"/>
    <numFmt numFmtId="176" formatCode="_-* #,##0.0000_-;\-* #,##0.0000_-;_-* &quot;-&quot;????_-;_-@_-"/>
    <numFmt numFmtId="177" formatCode="_-&quot;R$&quot;\ * #,##0.00000_-;\-&quot;R$&quot;\ * #,##0.00000_-;_-&quot;R$&quot;\ * &quot;-&quot;??_-;_-@_-"/>
    <numFmt numFmtId="178" formatCode="_(&quot;R$ &quot;* #,##0.000000_);_(&quot;R$ &quot;* \(#,##0.000000\);_(&quot;R$ &quot;* &quot;-&quot;??_);_(@_)"/>
    <numFmt numFmtId="179" formatCode="_-* #,##0.0000_-;\-* #,##0.0000_-;_-* &quot;-&quot;??_-;_-@_-"/>
  </numFmts>
  <fonts count="33" x14ac:knownFonts="1">
    <font>
      <sz val="10"/>
      <name val="Arial"/>
    </font>
    <font>
      <sz val="10"/>
      <name val="Arial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11"/>
      <name val="Calibri"/>
      <family val="2"/>
    </font>
    <font>
      <b/>
      <sz val="12"/>
      <name val="Arial"/>
      <family val="2"/>
    </font>
    <font>
      <b/>
      <sz val="12"/>
      <name val="Verdana"/>
      <family val="2"/>
    </font>
    <font>
      <sz val="12"/>
      <name val="Verdana"/>
      <family val="2"/>
    </font>
    <font>
      <b/>
      <sz val="11"/>
      <name val="Verdana"/>
      <family val="2"/>
    </font>
    <font>
      <b/>
      <sz val="9"/>
      <name val="Verdana"/>
      <family val="2"/>
    </font>
    <font>
      <b/>
      <sz val="9"/>
      <name val="Arial"/>
      <family val="2"/>
    </font>
    <font>
      <b/>
      <sz val="8"/>
      <name val="Arial"/>
      <family val="2"/>
    </font>
    <font>
      <sz val="10"/>
      <name val="Arial"/>
    </font>
    <font>
      <sz val="9"/>
      <color indexed="81"/>
      <name val="Segoe UI"/>
      <charset val="1"/>
    </font>
    <font>
      <b/>
      <sz val="9"/>
      <color indexed="81"/>
      <name val="Segoe UI"/>
      <charset val="1"/>
    </font>
    <font>
      <b/>
      <sz val="11"/>
      <color theme="1"/>
      <name val="Calibri"/>
      <family val="2"/>
      <scheme val="minor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1"/>
      <color rgb="FF000000"/>
      <name val="Roboto"/>
    </font>
    <font>
      <i/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0"/>
      <color rgb="FFFF0000"/>
      <name val="Arial"/>
      <family val="2"/>
    </font>
    <font>
      <b/>
      <sz val="11"/>
      <color rgb="FFFF0000"/>
      <name val="Arial"/>
      <family val="2"/>
    </font>
    <font>
      <b/>
      <sz val="10"/>
      <color rgb="FFFF0000"/>
      <name val="Arial"/>
      <family val="2"/>
    </font>
    <font>
      <b/>
      <sz val="9"/>
      <color rgb="FFFF0000"/>
      <name val="Arial"/>
      <family val="2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6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6" fillId="0" borderId="0"/>
    <xf numFmtId="9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503">
    <xf numFmtId="0" fontId="0" fillId="0" borderId="0" xfId="0"/>
    <xf numFmtId="0" fontId="3" fillId="3" borderId="0" xfId="0" applyFont="1" applyFill="1"/>
    <xf numFmtId="49" fontId="3" fillId="3" borderId="0" xfId="0" applyNumberFormat="1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164" fontId="5" fillId="3" borderId="2" xfId="0" applyNumberFormat="1" applyFont="1" applyFill="1" applyBorder="1"/>
    <xf numFmtId="0" fontId="4" fillId="3" borderId="3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left" indent="13"/>
    </xf>
    <xf numFmtId="10" fontId="4" fillId="3" borderId="2" xfId="0" applyNumberFormat="1" applyFont="1" applyFill="1" applyBorder="1" applyAlignment="1">
      <alignment horizontal="center"/>
    </xf>
    <xf numFmtId="0" fontId="7" fillId="3" borderId="0" xfId="0" applyFont="1" applyFill="1"/>
    <xf numFmtId="0" fontId="6" fillId="3" borderId="0" xfId="0" applyFont="1" applyFill="1"/>
    <xf numFmtId="44" fontId="5" fillId="3" borderId="2" xfId="0" applyNumberFormat="1" applyFont="1" applyFill="1" applyBorder="1"/>
    <xf numFmtId="164" fontId="5" fillId="3" borderId="5" xfId="0" applyNumberFormat="1" applyFont="1" applyFill="1" applyBorder="1"/>
    <xf numFmtId="164" fontId="5" fillId="3" borderId="6" xfId="0" applyNumberFormat="1" applyFont="1" applyFill="1" applyBorder="1"/>
    <xf numFmtId="0" fontId="0" fillId="3" borderId="0" xfId="0" applyFill="1"/>
    <xf numFmtId="0" fontId="5" fillId="3" borderId="7" xfId="0" applyFont="1" applyFill="1" applyBorder="1" applyAlignment="1">
      <alignment horizontal="center"/>
    </xf>
    <xf numFmtId="1" fontId="22" fillId="3" borderId="0" xfId="0" applyNumberFormat="1" applyFont="1" applyFill="1"/>
    <xf numFmtId="164" fontId="6" fillId="3" borderId="8" xfId="0" applyNumberFormat="1" applyFont="1" applyFill="1" applyBorder="1"/>
    <xf numFmtId="164" fontId="6" fillId="3" borderId="9" xfId="0" applyNumberFormat="1" applyFont="1" applyFill="1" applyBorder="1"/>
    <xf numFmtId="1" fontId="6" fillId="3" borderId="9" xfId="0" applyNumberFormat="1" applyFont="1" applyFill="1" applyBorder="1" applyAlignment="1">
      <alignment horizontal="center"/>
    </xf>
    <xf numFmtId="0" fontId="5" fillId="3" borderId="0" xfId="0" applyFont="1" applyFill="1" applyAlignment="1">
      <alignment horizontal="center"/>
    </xf>
    <xf numFmtId="0" fontId="5" fillId="3" borderId="10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vertical="center"/>
    </xf>
    <xf numFmtId="164" fontId="5" fillId="3" borderId="0" xfId="0" applyNumberFormat="1" applyFont="1" applyFill="1"/>
    <xf numFmtId="0" fontId="5" fillId="3" borderId="13" xfId="0" applyFont="1" applyFill="1" applyBorder="1" applyAlignment="1">
      <alignment horizontal="center" vertical="center"/>
    </xf>
    <xf numFmtId="10" fontId="5" fillId="3" borderId="14" xfId="0" applyNumberFormat="1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 vertical="center"/>
    </xf>
    <xf numFmtId="164" fontId="2" fillId="3" borderId="0" xfId="1" applyFont="1" applyFill="1"/>
    <xf numFmtId="0" fontId="4" fillId="3" borderId="15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0" fontId="2" fillId="3" borderId="1" xfId="0" applyFont="1" applyFill="1" applyBorder="1"/>
    <xf numFmtId="44" fontId="2" fillId="3" borderId="17" xfId="0" applyNumberFormat="1" applyFont="1" applyFill="1" applyBorder="1"/>
    <xf numFmtId="10" fontId="2" fillId="3" borderId="14" xfId="0" applyNumberFormat="1" applyFont="1" applyFill="1" applyBorder="1" applyAlignment="1">
      <alignment horizontal="center"/>
    </xf>
    <xf numFmtId="44" fontId="2" fillId="3" borderId="18" xfId="0" applyNumberFormat="1" applyFont="1" applyFill="1" applyBorder="1"/>
    <xf numFmtId="10" fontId="2" fillId="3" borderId="14" xfId="4" applyNumberFormat="1" applyFont="1" applyFill="1" applyBorder="1" applyAlignment="1">
      <alignment horizontal="center"/>
    </xf>
    <xf numFmtId="44" fontId="2" fillId="3" borderId="14" xfId="0" applyNumberFormat="1" applyFont="1" applyFill="1" applyBorder="1"/>
    <xf numFmtId="167" fontId="2" fillId="3" borderId="14" xfId="0" applyNumberFormat="1" applyFont="1" applyFill="1" applyBorder="1"/>
    <xf numFmtId="0" fontId="2" fillId="3" borderId="14" xfId="0" applyFont="1" applyFill="1" applyBorder="1"/>
    <xf numFmtId="44" fontId="2" fillId="3" borderId="19" xfId="0" applyNumberFormat="1" applyFont="1" applyFill="1" applyBorder="1"/>
    <xf numFmtId="0" fontId="2" fillId="3" borderId="2" xfId="0" applyFont="1" applyFill="1" applyBorder="1"/>
    <xf numFmtId="0" fontId="2" fillId="3" borderId="0" xfId="0" applyFont="1" applyFill="1"/>
    <xf numFmtId="164" fontId="2" fillId="3" borderId="20" xfId="0" applyNumberFormat="1" applyFont="1" applyFill="1" applyBorder="1" applyAlignment="1">
      <alignment horizontal="right"/>
    </xf>
    <xf numFmtId="164" fontId="2" fillId="3" borderId="21" xfId="0" applyNumberFormat="1" applyFont="1" applyFill="1" applyBorder="1" applyAlignment="1">
      <alignment horizontal="right"/>
    </xf>
    <xf numFmtId="44" fontId="2" fillId="3" borderId="22" xfId="0" applyNumberFormat="1" applyFont="1" applyFill="1" applyBorder="1"/>
    <xf numFmtId="164" fontId="2" fillId="3" borderId="1" xfId="0" applyNumberFormat="1" applyFont="1" applyFill="1" applyBorder="1"/>
    <xf numFmtId="164" fontId="2" fillId="3" borderId="23" xfId="0" applyNumberFormat="1" applyFont="1" applyFill="1" applyBorder="1"/>
    <xf numFmtId="44" fontId="2" fillId="3" borderId="24" xfId="0" applyNumberFormat="1" applyFont="1" applyFill="1" applyBorder="1"/>
    <xf numFmtId="10" fontId="2" fillId="3" borderId="23" xfId="0" applyNumberFormat="1" applyFont="1" applyFill="1" applyBorder="1" applyAlignment="1">
      <alignment horizontal="center"/>
    </xf>
    <xf numFmtId="164" fontId="2" fillId="3" borderId="3" xfId="0" applyNumberFormat="1" applyFont="1" applyFill="1" applyBorder="1"/>
    <xf numFmtId="10" fontId="2" fillId="3" borderId="18" xfId="0" applyNumberFormat="1" applyFont="1" applyFill="1" applyBorder="1" applyAlignment="1">
      <alignment horizontal="center"/>
    </xf>
    <xf numFmtId="164" fontId="2" fillId="3" borderId="14" xfId="0" applyNumberFormat="1" applyFont="1" applyFill="1" applyBorder="1"/>
    <xf numFmtId="10" fontId="2" fillId="3" borderId="25" xfId="0" applyNumberFormat="1" applyFont="1" applyFill="1" applyBorder="1" applyAlignment="1">
      <alignment horizontal="center"/>
    </xf>
    <xf numFmtId="164" fontId="2" fillId="3" borderId="24" xfId="0" applyNumberFormat="1" applyFont="1" applyFill="1" applyBorder="1"/>
    <xf numFmtId="164" fontId="2" fillId="3" borderId="17" xfId="0" applyNumberFormat="1" applyFont="1" applyFill="1" applyBorder="1"/>
    <xf numFmtId="0" fontId="2" fillId="3" borderId="26" xfId="0" applyFont="1" applyFill="1" applyBorder="1"/>
    <xf numFmtId="10" fontId="2" fillId="3" borderId="1" xfId="0" applyNumberFormat="1" applyFont="1" applyFill="1" applyBorder="1" applyAlignment="1">
      <alignment horizontal="center"/>
    </xf>
    <xf numFmtId="164" fontId="2" fillId="3" borderId="22" xfId="0" applyNumberFormat="1" applyFont="1" applyFill="1" applyBorder="1"/>
    <xf numFmtId="164" fontId="2" fillId="3" borderId="27" xfId="0" applyNumberFormat="1" applyFont="1" applyFill="1" applyBorder="1"/>
    <xf numFmtId="0" fontId="2" fillId="3" borderId="6" xfId="0" applyFont="1" applyFill="1" applyBorder="1"/>
    <xf numFmtId="164" fontId="2" fillId="3" borderId="15" xfId="0" applyNumberFormat="1" applyFont="1" applyFill="1" applyBorder="1"/>
    <xf numFmtId="164" fontId="2" fillId="3" borderId="18" xfId="0" applyNumberFormat="1" applyFont="1" applyFill="1" applyBorder="1"/>
    <xf numFmtId="164" fontId="2" fillId="3" borderId="25" xfId="0" applyNumberFormat="1" applyFont="1" applyFill="1" applyBorder="1"/>
    <xf numFmtId="0" fontId="2" fillId="3" borderId="24" xfId="0" applyFont="1" applyFill="1" applyBorder="1"/>
    <xf numFmtId="0" fontId="5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10" fontId="2" fillId="3" borderId="24" xfId="0" applyNumberFormat="1" applyFont="1" applyFill="1" applyBorder="1" applyAlignment="1">
      <alignment horizontal="center"/>
    </xf>
    <xf numFmtId="0" fontId="2" fillId="0" borderId="0" xfId="0" applyFont="1"/>
    <xf numFmtId="0" fontId="2" fillId="3" borderId="5" xfId="0" applyFont="1" applyFill="1" applyBorder="1"/>
    <xf numFmtId="0" fontId="2" fillId="3" borderId="1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22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2" fillId="3" borderId="23" xfId="0" applyFont="1" applyFill="1" applyBorder="1" applyAlignment="1">
      <alignment horizontal="center"/>
    </xf>
    <xf numFmtId="0" fontId="2" fillId="3" borderId="18" xfId="0" applyFont="1" applyFill="1" applyBorder="1" applyAlignment="1">
      <alignment horizontal="center"/>
    </xf>
    <xf numFmtId="0" fontId="2" fillId="3" borderId="19" xfId="0" applyFont="1" applyFill="1" applyBorder="1" applyAlignment="1">
      <alignment horizontal="center"/>
    </xf>
    <xf numFmtId="0" fontId="2" fillId="3" borderId="23" xfId="0" applyFont="1" applyFill="1" applyBorder="1"/>
    <xf numFmtId="44" fontId="2" fillId="3" borderId="23" xfId="0" applyNumberFormat="1" applyFont="1" applyFill="1" applyBorder="1"/>
    <xf numFmtId="44" fontId="2" fillId="3" borderId="0" xfId="0" applyNumberFormat="1" applyFont="1" applyFill="1"/>
    <xf numFmtId="0" fontId="2" fillId="3" borderId="24" xfId="0" applyFont="1" applyFill="1" applyBorder="1" applyAlignment="1">
      <alignment horizontal="center"/>
    </xf>
    <xf numFmtId="164" fontId="2" fillId="3" borderId="28" xfId="0" applyNumberFormat="1" applyFont="1" applyFill="1" applyBorder="1"/>
    <xf numFmtId="164" fontId="2" fillId="3" borderId="29" xfId="0" applyNumberFormat="1" applyFont="1" applyFill="1" applyBorder="1"/>
    <xf numFmtId="43" fontId="2" fillId="3" borderId="0" xfId="0" applyNumberFormat="1" applyFont="1" applyFill="1"/>
    <xf numFmtId="164" fontId="2" fillId="3" borderId="30" xfId="0" applyNumberFormat="1" applyFont="1" applyFill="1" applyBorder="1"/>
    <xf numFmtId="0" fontId="0" fillId="0" borderId="0" xfId="0" applyAlignment="1">
      <alignment horizontal="center" vertical="center"/>
    </xf>
    <xf numFmtId="0" fontId="4" fillId="3" borderId="4" xfId="0" applyFont="1" applyFill="1" applyBorder="1"/>
    <xf numFmtId="0" fontId="4" fillId="3" borderId="0" xfId="0" applyFont="1" applyFill="1"/>
    <xf numFmtId="10" fontId="2" fillId="3" borderId="1" xfId="4" applyNumberFormat="1" applyFont="1" applyFill="1" applyBorder="1" applyAlignment="1">
      <alignment horizontal="center" vertical="center"/>
    </xf>
    <xf numFmtId="10" fontId="2" fillId="3" borderId="14" xfId="4" applyNumberFormat="1" applyFont="1" applyFill="1" applyBorder="1" applyAlignment="1">
      <alignment horizontal="center" vertical="center"/>
    </xf>
    <xf numFmtId="10" fontId="5" fillId="3" borderId="31" xfId="0" applyNumberFormat="1" applyFont="1" applyFill="1" applyBorder="1" applyAlignment="1">
      <alignment horizontal="center" vertical="center"/>
    </xf>
    <xf numFmtId="0" fontId="4" fillId="3" borderId="32" xfId="0" applyFont="1" applyFill="1" applyBorder="1" applyAlignment="1">
      <alignment vertical="center"/>
    </xf>
    <xf numFmtId="164" fontId="2" fillId="3" borderId="23" xfId="1" applyFont="1" applyFill="1" applyBorder="1" applyAlignment="1">
      <alignment horizontal="center"/>
    </xf>
    <xf numFmtId="164" fontId="2" fillId="3" borderId="18" xfId="1" applyFont="1" applyFill="1" applyBorder="1" applyAlignment="1">
      <alignment horizontal="center"/>
    </xf>
    <xf numFmtId="0" fontId="5" fillId="3" borderId="15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 vertical="center"/>
    </xf>
    <xf numFmtId="164" fontId="2" fillId="3" borderId="0" xfId="0" applyNumberFormat="1" applyFont="1" applyFill="1"/>
    <xf numFmtId="166" fontId="2" fillId="3" borderId="0" xfId="4" applyNumberFormat="1" applyFont="1" applyFill="1"/>
    <xf numFmtId="164" fontId="2" fillId="3" borderId="33" xfId="0" applyNumberFormat="1" applyFont="1" applyFill="1" applyBorder="1"/>
    <xf numFmtId="0" fontId="2" fillId="3" borderId="33" xfId="0" applyFont="1" applyFill="1" applyBorder="1" applyAlignment="1">
      <alignment horizontal="center"/>
    </xf>
    <xf numFmtId="0" fontId="4" fillId="3" borderId="2" xfId="0" applyFont="1" applyFill="1" applyBorder="1"/>
    <xf numFmtId="164" fontId="2" fillId="3" borderId="2" xfId="0" applyNumberFormat="1" applyFont="1" applyFill="1" applyBorder="1"/>
    <xf numFmtId="166" fontId="2" fillId="3" borderId="18" xfId="0" applyNumberFormat="1" applyFont="1" applyFill="1" applyBorder="1" applyAlignment="1">
      <alignment horizontal="center"/>
    </xf>
    <xf numFmtId="164" fontId="6" fillId="3" borderId="34" xfId="0" applyNumberFormat="1" applyFont="1" applyFill="1" applyBorder="1"/>
    <xf numFmtId="0" fontId="5" fillId="3" borderId="13" xfId="0" applyFont="1" applyFill="1" applyBorder="1"/>
    <xf numFmtId="1" fontId="6" fillId="3" borderId="35" xfId="0" applyNumberFormat="1" applyFont="1" applyFill="1" applyBorder="1" applyAlignment="1">
      <alignment horizontal="center"/>
    </xf>
    <xf numFmtId="164" fontId="6" fillId="3" borderId="36" xfId="0" applyNumberFormat="1" applyFont="1" applyFill="1" applyBorder="1"/>
    <xf numFmtId="1" fontId="2" fillId="3" borderId="8" xfId="0" applyNumberFormat="1" applyFont="1" applyFill="1" applyBorder="1" applyAlignment="1">
      <alignment horizontal="center"/>
    </xf>
    <xf numFmtId="164" fontId="2" fillId="3" borderId="37" xfId="0" applyNumberFormat="1" applyFont="1" applyFill="1" applyBorder="1"/>
    <xf numFmtId="1" fontId="2" fillId="3" borderId="34" xfId="0" applyNumberFormat="1" applyFont="1" applyFill="1" applyBorder="1" applyAlignment="1">
      <alignment horizontal="center"/>
    </xf>
    <xf numFmtId="164" fontId="2" fillId="3" borderId="38" xfId="0" applyNumberFormat="1" applyFont="1" applyFill="1" applyBorder="1"/>
    <xf numFmtId="169" fontId="23" fillId="3" borderId="9" xfId="0" applyNumberFormat="1" applyFont="1" applyFill="1" applyBorder="1" applyAlignment="1">
      <alignment horizontal="center" vertical="center"/>
    </xf>
    <xf numFmtId="14" fontId="23" fillId="3" borderId="9" xfId="0" applyNumberFormat="1" applyFont="1" applyFill="1" applyBorder="1" applyAlignment="1">
      <alignment horizontal="center" vertical="center"/>
    </xf>
    <xf numFmtId="164" fontId="23" fillId="0" borderId="9" xfId="1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164" fontId="5" fillId="0" borderId="0" xfId="0" applyNumberFormat="1" applyFont="1"/>
    <xf numFmtId="164" fontId="5" fillId="0" borderId="9" xfId="0" applyNumberFormat="1" applyFont="1" applyBorder="1"/>
    <xf numFmtId="0" fontId="5" fillId="3" borderId="9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 wrapText="1"/>
    </xf>
    <xf numFmtId="164" fontId="5" fillId="0" borderId="9" xfId="1" applyFont="1" applyBorder="1" applyAlignment="1">
      <alignment vertical="center"/>
    </xf>
    <xf numFmtId="0" fontId="0" fillId="3" borderId="39" xfId="0" applyFill="1" applyBorder="1"/>
    <xf numFmtId="164" fontId="5" fillId="3" borderId="40" xfId="0" applyNumberFormat="1" applyFont="1" applyFill="1" applyBorder="1"/>
    <xf numFmtId="0" fontId="5" fillId="3" borderId="2" xfId="0" applyFont="1" applyFill="1" applyBorder="1" applyAlignment="1">
      <alignment horizontal="center" vertical="center" wrapText="1"/>
    </xf>
    <xf numFmtId="168" fontId="2" fillId="3" borderId="18" xfId="0" applyNumberFormat="1" applyFont="1" applyFill="1" applyBorder="1" applyAlignment="1">
      <alignment horizontal="center"/>
    </xf>
    <xf numFmtId="0" fontId="0" fillId="3" borderId="0" xfId="0" applyFill="1" applyAlignment="1">
      <alignment horizontal="center" vertical="center"/>
    </xf>
    <xf numFmtId="164" fontId="5" fillId="3" borderId="41" xfId="0" applyNumberFormat="1" applyFont="1" applyFill="1" applyBorder="1"/>
    <xf numFmtId="0" fontId="0" fillId="3" borderId="9" xfId="0" applyFill="1" applyBorder="1" applyAlignment="1">
      <alignment horizontal="center" vertical="center"/>
    </xf>
    <xf numFmtId="0" fontId="5" fillId="3" borderId="42" xfId="0" applyFont="1" applyFill="1" applyBorder="1"/>
    <xf numFmtId="1" fontId="22" fillId="3" borderId="0" xfId="0" applyNumberFormat="1" applyFont="1" applyFill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43" fontId="0" fillId="0" borderId="0" xfId="0" applyNumberFormat="1"/>
    <xf numFmtId="166" fontId="2" fillId="3" borderId="23" xfId="0" applyNumberFormat="1" applyFont="1" applyFill="1" applyBorder="1" applyAlignment="1">
      <alignment horizontal="center"/>
    </xf>
    <xf numFmtId="0" fontId="4" fillId="3" borderId="15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6" xfId="0" applyFont="1" applyFill="1" applyBorder="1" applyAlignment="1">
      <alignment horizontal="center"/>
    </xf>
    <xf numFmtId="0" fontId="4" fillId="3" borderId="26" xfId="0" applyFont="1" applyFill="1" applyBorder="1" applyAlignment="1">
      <alignment horizontal="center"/>
    </xf>
    <xf numFmtId="0" fontId="4" fillId="3" borderId="31" xfId="0" applyFont="1" applyFill="1" applyBorder="1" applyAlignment="1">
      <alignment horizontal="center"/>
    </xf>
    <xf numFmtId="0" fontId="5" fillId="3" borderId="6" xfId="0" applyFont="1" applyFill="1" applyBorder="1" applyAlignment="1">
      <alignment horizontal="center" vertical="center"/>
    </xf>
    <xf numFmtId="0" fontId="2" fillId="3" borderId="34" xfId="0" applyFont="1" applyFill="1" applyBorder="1" applyAlignment="1">
      <alignment horizontal="center" vertical="center"/>
    </xf>
    <xf numFmtId="0" fontId="2" fillId="3" borderId="18" xfId="0" applyFont="1" applyFill="1" applyBorder="1"/>
    <xf numFmtId="0" fontId="7" fillId="3" borderId="0" xfId="0" applyFont="1" applyFill="1" applyAlignment="1">
      <alignment horizontal="left"/>
    </xf>
    <xf numFmtId="0" fontId="5" fillId="3" borderId="43" xfId="0" applyFont="1" applyFill="1" applyBorder="1"/>
    <xf numFmtId="168" fontId="2" fillId="3" borderId="25" xfId="0" applyNumberFormat="1" applyFont="1" applyFill="1" applyBorder="1" applyAlignment="1">
      <alignment horizontal="center"/>
    </xf>
    <xf numFmtId="10" fontId="5" fillId="3" borderId="23" xfId="0" applyNumberFormat="1" applyFont="1" applyFill="1" applyBorder="1" applyAlignment="1">
      <alignment horizontal="center"/>
    </xf>
    <xf numFmtId="10" fontId="5" fillId="3" borderId="2" xfId="0" applyNumberFormat="1" applyFont="1" applyFill="1" applyBorder="1" applyAlignment="1">
      <alignment horizontal="center" vertical="center"/>
    </xf>
    <xf numFmtId="0" fontId="12" fillId="0" borderId="9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/>
    </xf>
    <xf numFmtId="0" fontId="21" fillId="0" borderId="9" xfId="0" applyFont="1" applyBorder="1" applyAlignment="1">
      <alignment vertical="center"/>
    </xf>
    <xf numFmtId="0" fontId="21" fillId="0" borderId="0" xfId="0" applyFont="1" applyAlignment="1">
      <alignment vertical="center"/>
    </xf>
    <xf numFmtId="171" fontId="13" fillId="0" borderId="44" xfId="0" applyNumberFormat="1" applyFont="1" applyBorder="1" applyAlignment="1">
      <alignment horizontal="center" vertical="center" wrapText="1"/>
    </xf>
    <xf numFmtId="0" fontId="24" fillId="0" borderId="9" xfId="0" applyFont="1" applyBorder="1" applyAlignment="1">
      <alignment horizontal="justify" vertical="center" wrapText="1"/>
    </xf>
    <xf numFmtId="171" fontId="12" fillId="0" borderId="9" xfId="0" applyNumberFormat="1" applyFont="1" applyBorder="1" applyAlignment="1">
      <alignment horizontal="center" vertical="center"/>
    </xf>
    <xf numFmtId="172" fontId="13" fillId="2" borderId="9" xfId="1" applyNumberFormat="1" applyFont="1" applyFill="1" applyBorder="1" applyAlignment="1">
      <alignment vertical="center"/>
    </xf>
    <xf numFmtId="172" fontId="13" fillId="0" borderId="9" xfId="1" applyNumberFormat="1" applyFont="1" applyBorder="1" applyAlignment="1">
      <alignment vertical="center"/>
    </xf>
    <xf numFmtId="0" fontId="25" fillId="0" borderId="9" xfId="0" applyFont="1" applyBorder="1" applyAlignment="1">
      <alignment horizontal="center" vertical="center"/>
    </xf>
    <xf numFmtId="0" fontId="0" fillId="0" borderId="0" xfId="0" applyAlignment="1">
      <alignment vertical="center"/>
    </xf>
    <xf numFmtId="4" fontId="0" fillId="0" borderId="0" xfId="0" applyNumberFormat="1" applyAlignment="1">
      <alignment vertical="center"/>
    </xf>
    <xf numFmtId="173" fontId="0" fillId="0" borderId="0" xfId="0" applyNumberFormat="1" applyAlignment="1">
      <alignment vertical="center"/>
    </xf>
    <xf numFmtId="171" fontId="13" fillId="0" borderId="45" xfId="0" applyNumberFormat="1" applyFont="1" applyBorder="1" applyAlignment="1">
      <alignment horizontal="center" vertical="center" wrapText="1"/>
    </xf>
    <xf numFmtId="172" fontId="12" fillId="2" borderId="9" xfId="1" applyNumberFormat="1" applyFont="1" applyFill="1" applyBorder="1" applyAlignment="1">
      <alignment vertical="center"/>
    </xf>
    <xf numFmtId="172" fontId="12" fillId="0" borderId="9" xfId="1" applyNumberFormat="1" applyFont="1" applyBorder="1"/>
    <xf numFmtId="0" fontId="0" fillId="0" borderId="9" xfId="0" applyBorder="1"/>
    <xf numFmtId="2" fontId="0" fillId="0" borderId="0" xfId="0" applyNumberFormat="1"/>
    <xf numFmtId="171" fontId="12" fillId="0" borderId="46" xfId="0" applyNumberFormat="1" applyFont="1" applyBorder="1" applyAlignment="1">
      <alignment horizontal="center" vertical="center" wrapText="1"/>
    </xf>
    <xf numFmtId="171" fontId="12" fillId="0" borderId="30" xfId="0" applyNumberFormat="1" applyFont="1" applyBorder="1" applyAlignment="1">
      <alignment horizontal="center" vertical="center" wrapText="1"/>
    </xf>
    <xf numFmtId="171" fontId="12" fillId="0" borderId="47" xfId="0" applyNumberFormat="1" applyFont="1" applyBorder="1" applyAlignment="1">
      <alignment horizontal="center" vertical="center" wrapText="1"/>
    </xf>
    <xf numFmtId="0" fontId="21" fillId="3" borderId="48" xfId="0" applyFont="1" applyFill="1" applyBorder="1" applyAlignment="1">
      <alignment vertical="center" wrapText="1"/>
    </xf>
    <xf numFmtId="0" fontId="21" fillId="3" borderId="49" xfId="0" applyFont="1" applyFill="1" applyBorder="1" applyAlignment="1">
      <alignment vertical="center" wrapText="1"/>
    </xf>
    <xf numFmtId="0" fontId="21" fillId="3" borderId="0" xfId="0" applyFont="1" applyFill="1" applyAlignment="1">
      <alignment wrapText="1"/>
    </xf>
    <xf numFmtId="0" fontId="26" fillId="3" borderId="0" xfId="0" applyFont="1" applyFill="1"/>
    <xf numFmtId="171" fontId="12" fillId="0" borderId="9" xfId="0" applyNumberFormat="1" applyFont="1" applyBorder="1" applyAlignment="1">
      <alignment horizontal="center" vertical="center" wrapText="1"/>
    </xf>
    <xf numFmtId="171" fontId="13" fillId="0" borderId="9" xfId="0" applyNumberFormat="1" applyFont="1" applyBorder="1" applyAlignment="1">
      <alignment horizontal="center" vertical="center"/>
    </xf>
    <xf numFmtId="0" fontId="24" fillId="0" borderId="9" xfId="0" applyFont="1" applyBorder="1" applyAlignment="1">
      <alignment vertical="center" wrapText="1"/>
    </xf>
    <xf numFmtId="9" fontId="13" fillId="0" borderId="9" xfId="4" applyFont="1" applyBorder="1" applyAlignment="1">
      <alignment horizontal="center" vertical="center"/>
    </xf>
    <xf numFmtId="44" fontId="0" fillId="0" borderId="0" xfId="0" applyNumberFormat="1" applyAlignment="1">
      <alignment vertical="center"/>
    </xf>
    <xf numFmtId="172" fontId="13" fillId="3" borderId="9" xfId="1" applyNumberFormat="1" applyFont="1" applyFill="1" applyBorder="1" applyAlignment="1">
      <alignment vertical="center"/>
    </xf>
    <xf numFmtId="0" fontId="14" fillId="0" borderId="46" xfId="0" applyFont="1" applyBorder="1" applyAlignment="1">
      <alignment horizontal="left" vertical="center"/>
    </xf>
    <xf numFmtId="0" fontId="14" fillId="0" borderId="30" xfId="0" applyFont="1" applyBorder="1" applyAlignment="1">
      <alignment horizontal="left" vertical="center"/>
    </xf>
    <xf numFmtId="0" fontId="14" fillId="0" borderId="47" xfId="0" applyFont="1" applyBorder="1" applyAlignment="1">
      <alignment horizontal="left" vertical="center"/>
    </xf>
    <xf numFmtId="172" fontId="14" fillId="0" borderId="47" xfId="0" applyNumberFormat="1" applyFont="1" applyBorder="1" applyAlignment="1">
      <alignment horizontal="left" vertical="center"/>
    </xf>
    <xf numFmtId="172" fontId="14" fillId="0" borderId="9" xfId="1" applyNumberFormat="1" applyFont="1" applyBorder="1" applyAlignment="1">
      <alignment vertical="center"/>
    </xf>
    <xf numFmtId="0" fontId="14" fillId="0" borderId="46" xfId="0" applyFont="1" applyBorder="1" applyAlignment="1">
      <alignment vertical="center"/>
    </xf>
    <xf numFmtId="0" fontId="14" fillId="0" borderId="30" xfId="0" applyFont="1" applyBorder="1" applyAlignment="1">
      <alignment vertical="center"/>
    </xf>
    <xf numFmtId="0" fontId="14" fillId="0" borderId="47" xfId="0" applyFont="1" applyBorder="1" applyAlignment="1">
      <alignment vertical="center"/>
    </xf>
    <xf numFmtId="172" fontId="14" fillId="0" borderId="47" xfId="1" applyNumberFormat="1" applyFont="1" applyBorder="1" applyAlignment="1">
      <alignment vertical="center"/>
    </xf>
    <xf numFmtId="168" fontId="2" fillId="3" borderId="24" xfId="0" applyNumberFormat="1" applyFont="1" applyFill="1" applyBorder="1" applyAlignment="1">
      <alignment horizontal="center"/>
    </xf>
    <xf numFmtId="10" fontId="2" fillId="3" borderId="18" xfId="0" applyNumberFormat="1" applyFont="1" applyFill="1" applyBorder="1" applyAlignment="1">
      <alignment horizontal="center" vertical="center"/>
    </xf>
    <xf numFmtId="168" fontId="2" fillId="3" borderId="1" xfId="0" applyNumberFormat="1" applyFont="1" applyFill="1" applyBorder="1" applyAlignment="1">
      <alignment horizontal="center"/>
    </xf>
    <xf numFmtId="1" fontId="2" fillId="3" borderId="9" xfId="0" applyNumberFormat="1" applyFont="1" applyFill="1" applyBorder="1" applyAlignment="1">
      <alignment horizontal="center"/>
    </xf>
    <xf numFmtId="164" fontId="5" fillId="3" borderId="39" xfId="0" applyNumberFormat="1" applyFont="1" applyFill="1" applyBorder="1"/>
    <xf numFmtId="1" fontId="5" fillId="3" borderId="9" xfId="0" applyNumberFormat="1" applyFont="1" applyFill="1" applyBorder="1" applyAlignment="1">
      <alignment horizontal="center" vertical="center"/>
    </xf>
    <xf numFmtId="1" fontId="5" fillId="3" borderId="50" xfId="0" applyNumberFormat="1" applyFont="1" applyFill="1" applyBorder="1" applyAlignment="1">
      <alignment horizontal="center" vertical="center"/>
    </xf>
    <xf numFmtId="43" fontId="0" fillId="3" borderId="0" xfId="0" applyNumberFormat="1" applyFill="1"/>
    <xf numFmtId="43" fontId="2" fillId="0" borderId="0" xfId="0" applyNumberFormat="1" applyFont="1"/>
    <xf numFmtId="174" fontId="0" fillId="3" borderId="0" xfId="0" applyNumberFormat="1" applyFill="1"/>
    <xf numFmtId="0" fontId="2" fillId="3" borderId="17" xfId="0" applyFont="1" applyFill="1" applyBorder="1" applyAlignment="1">
      <alignment horizontal="center"/>
    </xf>
    <xf numFmtId="0" fontId="27" fillId="3" borderId="0" xfId="0" applyFont="1" applyFill="1"/>
    <xf numFmtId="0" fontId="27" fillId="0" borderId="0" xfId="0" applyFont="1"/>
    <xf numFmtId="0" fontId="2" fillId="3" borderId="27" xfId="0" applyFont="1" applyFill="1" applyBorder="1"/>
    <xf numFmtId="0" fontId="2" fillId="3" borderId="48" xfId="0" applyFont="1" applyFill="1" applyBorder="1"/>
    <xf numFmtId="0" fontId="4" fillId="3" borderId="2" xfId="0" applyFont="1" applyFill="1" applyBorder="1" applyAlignment="1">
      <alignment horizontal="center" vertical="center" wrapText="1"/>
    </xf>
    <xf numFmtId="0" fontId="28" fillId="3" borderId="4" xfId="0" applyFont="1" applyFill="1" applyBorder="1"/>
    <xf numFmtId="0" fontId="28" fillId="3" borderId="2" xfId="0" applyFont="1" applyFill="1" applyBorder="1" applyAlignment="1">
      <alignment horizontal="center" vertical="center" wrapText="1"/>
    </xf>
    <xf numFmtId="0" fontId="27" fillId="3" borderId="1" xfId="0" applyFont="1" applyFill="1" applyBorder="1"/>
    <xf numFmtId="44" fontId="27" fillId="3" borderId="17" xfId="0" applyNumberFormat="1" applyFont="1" applyFill="1" applyBorder="1"/>
    <xf numFmtId="10" fontId="27" fillId="3" borderId="14" xfId="4" applyNumberFormat="1" applyFont="1" applyFill="1" applyBorder="1" applyAlignment="1">
      <alignment horizontal="center"/>
    </xf>
    <xf numFmtId="44" fontId="27" fillId="3" borderId="14" xfId="0" applyNumberFormat="1" applyFont="1" applyFill="1" applyBorder="1"/>
    <xf numFmtId="167" fontId="27" fillId="3" borderId="14" xfId="0" applyNumberFormat="1" applyFont="1" applyFill="1" applyBorder="1"/>
    <xf numFmtId="0" fontId="27" fillId="3" borderId="14" xfId="0" applyFont="1" applyFill="1" applyBorder="1"/>
    <xf numFmtId="44" fontId="27" fillId="3" borderId="19" xfId="0" applyNumberFormat="1" applyFont="1" applyFill="1" applyBorder="1"/>
    <xf numFmtId="44" fontId="27" fillId="3" borderId="22" xfId="0" applyNumberFormat="1" applyFont="1" applyFill="1" applyBorder="1"/>
    <xf numFmtId="0" fontId="27" fillId="3" borderId="2" xfId="0" applyFont="1" applyFill="1" applyBorder="1"/>
    <xf numFmtId="164" fontId="29" fillId="3" borderId="2" xfId="0" applyNumberFormat="1" applyFont="1" applyFill="1" applyBorder="1"/>
    <xf numFmtId="0" fontId="28" fillId="3" borderId="2" xfId="0" applyFont="1" applyFill="1" applyBorder="1" applyAlignment="1">
      <alignment horizontal="center" vertical="center"/>
    </xf>
    <xf numFmtId="10" fontId="27" fillId="3" borderId="1" xfId="4" applyNumberFormat="1" applyFont="1" applyFill="1" applyBorder="1" applyAlignment="1">
      <alignment horizontal="center" vertical="center"/>
    </xf>
    <xf numFmtId="164" fontId="27" fillId="3" borderId="21" xfId="0" applyNumberFormat="1" applyFont="1" applyFill="1" applyBorder="1" applyAlignment="1">
      <alignment horizontal="right"/>
    </xf>
    <xf numFmtId="10" fontId="27" fillId="3" borderId="14" xfId="4" applyNumberFormat="1" applyFont="1" applyFill="1" applyBorder="1" applyAlignment="1">
      <alignment horizontal="center" vertical="center"/>
    </xf>
    <xf numFmtId="44" fontId="27" fillId="3" borderId="18" xfId="0" applyNumberFormat="1" applyFont="1" applyFill="1" applyBorder="1"/>
    <xf numFmtId="10" fontId="29" fillId="3" borderId="31" xfId="0" applyNumberFormat="1" applyFont="1" applyFill="1" applyBorder="1" applyAlignment="1">
      <alignment horizontal="center" vertical="center"/>
    </xf>
    <xf numFmtId="44" fontId="29" fillId="3" borderId="2" xfId="0" applyNumberFormat="1" applyFont="1" applyFill="1" applyBorder="1"/>
    <xf numFmtId="10" fontId="27" fillId="3" borderId="23" xfId="0" applyNumberFormat="1" applyFont="1" applyFill="1" applyBorder="1" applyAlignment="1">
      <alignment horizontal="center"/>
    </xf>
    <xf numFmtId="164" fontId="27" fillId="3" borderId="1" xfId="0" applyNumberFormat="1" applyFont="1" applyFill="1" applyBorder="1"/>
    <xf numFmtId="10" fontId="27" fillId="3" borderId="18" xfId="0" applyNumberFormat="1" applyFont="1" applyFill="1" applyBorder="1" applyAlignment="1">
      <alignment horizontal="center"/>
    </xf>
    <xf numFmtId="164" fontId="27" fillId="3" borderId="28" xfId="0" applyNumberFormat="1" applyFont="1" applyFill="1" applyBorder="1"/>
    <xf numFmtId="164" fontId="27" fillId="3" borderId="24" xfId="0" applyNumberFormat="1" applyFont="1" applyFill="1" applyBorder="1"/>
    <xf numFmtId="164" fontId="27" fillId="3" borderId="14" xfId="0" applyNumberFormat="1" applyFont="1" applyFill="1" applyBorder="1"/>
    <xf numFmtId="10" fontId="27" fillId="3" borderId="25" xfId="0" applyNumberFormat="1" applyFont="1" applyFill="1" applyBorder="1" applyAlignment="1">
      <alignment horizontal="center"/>
    </xf>
    <xf numFmtId="164" fontId="27" fillId="3" borderId="27" xfId="0" applyNumberFormat="1" applyFont="1" applyFill="1" applyBorder="1"/>
    <xf numFmtId="164" fontId="27" fillId="3" borderId="23" xfId="1" applyFont="1" applyFill="1" applyBorder="1" applyAlignment="1">
      <alignment horizontal="center"/>
    </xf>
    <xf numFmtId="164" fontId="27" fillId="3" borderId="18" xfId="1" applyFont="1" applyFill="1" applyBorder="1" applyAlignment="1">
      <alignment horizontal="center"/>
    </xf>
    <xf numFmtId="10" fontId="28" fillId="3" borderId="2" xfId="0" applyNumberFormat="1" applyFont="1" applyFill="1" applyBorder="1" applyAlignment="1">
      <alignment horizontal="center"/>
    </xf>
    <xf numFmtId="0" fontId="28" fillId="3" borderId="26" xfId="0" applyFont="1" applyFill="1" applyBorder="1" applyAlignment="1">
      <alignment horizontal="center"/>
    </xf>
    <xf numFmtId="0" fontId="28" fillId="3" borderId="2" xfId="0" applyFont="1" applyFill="1" applyBorder="1" applyAlignment="1">
      <alignment horizontal="center"/>
    </xf>
    <xf numFmtId="164" fontId="27" fillId="3" borderId="17" xfId="0" applyNumberFormat="1" applyFont="1" applyFill="1" applyBorder="1"/>
    <xf numFmtId="0" fontId="27" fillId="3" borderId="26" xfId="0" applyFont="1" applyFill="1" applyBorder="1"/>
    <xf numFmtId="164" fontId="29" fillId="3" borderId="0" xfId="0" applyNumberFormat="1" applyFont="1" applyFill="1"/>
    <xf numFmtId="0" fontId="28" fillId="3" borderId="31" xfId="0" applyFont="1" applyFill="1" applyBorder="1" applyAlignment="1">
      <alignment horizontal="center"/>
    </xf>
    <xf numFmtId="166" fontId="27" fillId="3" borderId="23" xfId="0" applyNumberFormat="1" applyFont="1" applyFill="1" applyBorder="1" applyAlignment="1">
      <alignment horizontal="center"/>
    </xf>
    <xf numFmtId="168" fontId="27" fillId="3" borderId="18" xfId="0" applyNumberFormat="1" applyFont="1" applyFill="1" applyBorder="1" applyAlignment="1">
      <alignment horizontal="center"/>
    </xf>
    <xf numFmtId="166" fontId="27" fillId="3" borderId="18" xfId="0" applyNumberFormat="1" applyFont="1" applyFill="1" applyBorder="1" applyAlignment="1">
      <alignment horizontal="center"/>
    </xf>
    <xf numFmtId="168" fontId="27" fillId="3" borderId="25" xfId="0" applyNumberFormat="1" applyFont="1" applyFill="1" applyBorder="1" applyAlignment="1">
      <alignment horizontal="center"/>
    </xf>
    <xf numFmtId="0" fontId="28" fillId="3" borderId="3" xfId="0" applyFont="1" applyFill="1" applyBorder="1" applyAlignment="1">
      <alignment horizontal="center" vertical="center"/>
    </xf>
    <xf numFmtId="0" fontId="28" fillId="3" borderId="16" xfId="0" applyFont="1" applyFill="1" applyBorder="1" applyAlignment="1">
      <alignment horizontal="center" vertical="center"/>
    </xf>
    <xf numFmtId="10" fontId="27" fillId="3" borderId="14" xfId="0" applyNumberFormat="1" applyFont="1" applyFill="1" applyBorder="1" applyAlignment="1">
      <alignment horizontal="center"/>
    </xf>
    <xf numFmtId="164" fontId="27" fillId="3" borderId="22" xfId="0" applyNumberFormat="1" applyFont="1" applyFill="1" applyBorder="1"/>
    <xf numFmtId="10" fontId="27" fillId="3" borderId="1" xfId="0" applyNumberFormat="1" applyFont="1" applyFill="1" applyBorder="1" applyAlignment="1">
      <alignment horizontal="center"/>
    </xf>
    <xf numFmtId="164" fontId="27" fillId="3" borderId="3" xfId="0" applyNumberFormat="1" applyFont="1" applyFill="1" applyBorder="1"/>
    <xf numFmtId="164" fontId="27" fillId="3" borderId="29" xfId="0" applyNumberFormat="1" applyFont="1" applyFill="1" applyBorder="1"/>
    <xf numFmtId="0" fontId="29" fillId="3" borderId="2" xfId="0" applyFont="1" applyFill="1" applyBorder="1" applyAlignment="1">
      <alignment horizontal="center" vertical="center"/>
    </xf>
    <xf numFmtId="164" fontId="27" fillId="3" borderId="23" xfId="0" applyNumberFormat="1" applyFont="1" applyFill="1" applyBorder="1"/>
    <xf numFmtId="168" fontId="27" fillId="3" borderId="24" xfId="0" applyNumberFormat="1" applyFont="1" applyFill="1" applyBorder="1" applyAlignment="1">
      <alignment horizontal="center"/>
    </xf>
    <xf numFmtId="164" fontId="27" fillId="3" borderId="25" xfId="0" applyNumberFormat="1" applyFont="1" applyFill="1" applyBorder="1"/>
    <xf numFmtId="10" fontId="29" fillId="3" borderId="14" xfId="0" applyNumberFormat="1" applyFont="1" applyFill="1" applyBorder="1" applyAlignment="1">
      <alignment horizontal="center"/>
    </xf>
    <xf numFmtId="164" fontId="27" fillId="3" borderId="18" xfId="0" applyNumberFormat="1" applyFont="1" applyFill="1" applyBorder="1"/>
    <xf numFmtId="164" fontId="29" fillId="3" borderId="6" xfId="0" applyNumberFormat="1" applyFont="1" applyFill="1" applyBorder="1"/>
    <xf numFmtId="0" fontId="28" fillId="3" borderId="1" xfId="0" applyFont="1" applyFill="1" applyBorder="1" applyAlignment="1">
      <alignment horizontal="center"/>
    </xf>
    <xf numFmtId="0" fontId="27" fillId="3" borderId="24" xfId="0" applyFont="1" applyFill="1" applyBorder="1"/>
    <xf numFmtId="44" fontId="27" fillId="3" borderId="24" xfId="0" applyNumberFormat="1" applyFont="1" applyFill="1" applyBorder="1"/>
    <xf numFmtId="43" fontId="27" fillId="3" borderId="0" xfId="0" applyNumberFormat="1" applyFont="1" applyFill="1"/>
    <xf numFmtId="10" fontId="27" fillId="3" borderId="0" xfId="0" applyNumberFormat="1" applyFont="1" applyFill="1"/>
    <xf numFmtId="0" fontId="16" fillId="3" borderId="2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166" fontId="0" fillId="0" borderId="0" xfId="4" applyNumberFormat="1" applyFont="1"/>
    <xf numFmtId="0" fontId="11" fillId="3" borderId="48" xfId="0" applyFont="1" applyFill="1" applyBorder="1"/>
    <xf numFmtId="0" fontId="11" fillId="3" borderId="49" xfId="0" applyFont="1" applyFill="1" applyBorder="1"/>
    <xf numFmtId="0" fontId="5" fillId="0" borderId="0" xfId="0" applyFont="1" applyAlignment="1">
      <alignment vertical="center"/>
    </xf>
    <xf numFmtId="179" fontId="0" fillId="3" borderId="0" xfId="0" applyNumberFormat="1" applyFill="1"/>
    <xf numFmtId="166" fontId="0" fillId="0" borderId="0" xfId="0" applyNumberFormat="1"/>
    <xf numFmtId="166" fontId="0" fillId="3" borderId="0" xfId="0" applyNumberFormat="1" applyFill="1"/>
    <xf numFmtId="0" fontId="5" fillId="3" borderId="0" xfId="0" applyFont="1" applyFill="1"/>
    <xf numFmtId="176" fontId="0" fillId="0" borderId="0" xfId="0" applyNumberFormat="1"/>
    <xf numFmtId="9" fontId="0" fillId="0" borderId="0" xfId="4" applyFont="1"/>
    <xf numFmtId="170" fontId="0" fillId="0" borderId="0" xfId="4" applyNumberFormat="1" applyFont="1"/>
    <xf numFmtId="10" fontId="0" fillId="0" borderId="0" xfId="4" applyNumberFormat="1" applyFont="1"/>
    <xf numFmtId="164" fontId="0" fillId="0" borderId="0" xfId="1" applyFont="1"/>
    <xf numFmtId="176" fontId="0" fillId="4" borderId="0" xfId="0" applyNumberFormat="1" applyFill="1"/>
    <xf numFmtId="1" fontId="2" fillId="0" borderId="9" xfId="0" applyNumberFormat="1" applyFont="1" applyBorder="1" applyAlignment="1">
      <alignment horizontal="center"/>
    </xf>
    <xf numFmtId="164" fontId="5" fillId="0" borderId="41" xfId="0" applyNumberFormat="1" applyFont="1" applyBorder="1"/>
    <xf numFmtId="1" fontId="5" fillId="0" borderId="9" xfId="0" applyNumberFormat="1" applyFont="1" applyBorder="1" applyAlignment="1">
      <alignment horizontal="center" vertical="center"/>
    </xf>
    <xf numFmtId="166" fontId="18" fillId="3" borderId="0" xfId="4" applyNumberFormat="1" applyFont="1" applyFill="1"/>
    <xf numFmtId="0" fontId="2" fillId="3" borderId="9" xfId="0" applyFont="1" applyFill="1" applyBorder="1" applyAlignment="1">
      <alignment horizontal="center" vertical="center"/>
    </xf>
    <xf numFmtId="10" fontId="0" fillId="3" borderId="9" xfId="0" applyNumberFormat="1" applyFill="1" applyBorder="1" applyAlignment="1">
      <alignment horizontal="center" vertical="center"/>
    </xf>
    <xf numFmtId="164" fontId="0" fillId="3" borderId="9" xfId="0" applyNumberFormat="1" applyFill="1" applyBorder="1"/>
    <xf numFmtId="0" fontId="2" fillId="3" borderId="9" xfId="0" applyFont="1" applyFill="1" applyBorder="1" applyAlignment="1">
      <alignment horizontal="center" vertical="center" wrapText="1"/>
    </xf>
    <xf numFmtId="1" fontId="22" fillId="3" borderId="9" xfId="0" applyNumberFormat="1" applyFont="1" applyFill="1" applyBorder="1"/>
    <xf numFmtId="0" fontId="0" fillId="3" borderId="9" xfId="0" applyFill="1" applyBorder="1"/>
    <xf numFmtId="1" fontId="5" fillId="3" borderId="9" xfId="0" applyNumberFormat="1" applyFont="1" applyFill="1" applyBorder="1" applyAlignment="1">
      <alignment horizontal="center" vertical="center" wrapText="1"/>
    </xf>
    <xf numFmtId="0" fontId="5" fillId="5" borderId="9" xfId="0" applyFont="1" applyFill="1" applyBorder="1"/>
    <xf numFmtId="10" fontId="5" fillId="5" borderId="9" xfId="0" applyNumberFormat="1" applyFont="1" applyFill="1" applyBorder="1" applyAlignment="1">
      <alignment horizontal="center" vertical="center"/>
    </xf>
    <xf numFmtId="165" fontId="18" fillId="3" borderId="0" xfId="6" applyFont="1" applyFill="1" applyBorder="1"/>
    <xf numFmtId="164" fontId="23" fillId="0" borderId="47" xfId="1" applyFont="1" applyBorder="1" applyAlignment="1">
      <alignment vertical="center"/>
    </xf>
    <xf numFmtId="0" fontId="29" fillId="3" borderId="2" xfId="0" applyFont="1" applyFill="1" applyBorder="1" applyAlignment="1">
      <alignment horizontal="center" vertical="center" wrapText="1"/>
    </xf>
    <xf numFmtId="177" fontId="27" fillId="3" borderId="18" xfId="0" applyNumberFormat="1" applyFont="1" applyFill="1" applyBorder="1"/>
    <xf numFmtId="175" fontId="29" fillId="3" borderId="2" xfId="0" applyNumberFormat="1" applyFont="1" applyFill="1" applyBorder="1"/>
    <xf numFmtId="178" fontId="27" fillId="3" borderId="17" xfId="0" applyNumberFormat="1" applyFont="1" applyFill="1" applyBorder="1"/>
    <xf numFmtId="178" fontId="27" fillId="3" borderId="14" xfId="0" applyNumberFormat="1" applyFont="1" applyFill="1" applyBorder="1"/>
    <xf numFmtId="178" fontId="29" fillId="3" borderId="2" xfId="0" applyNumberFormat="1" applyFont="1" applyFill="1" applyBorder="1"/>
    <xf numFmtId="10" fontId="27" fillId="3" borderId="24" xfId="0" applyNumberFormat="1" applyFont="1" applyFill="1" applyBorder="1" applyAlignment="1">
      <alignment horizontal="center"/>
    </xf>
    <xf numFmtId="10" fontId="27" fillId="3" borderId="18" xfId="0" applyNumberFormat="1" applyFont="1" applyFill="1" applyBorder="1" applyAlignment="1">
      <alignment horizontal="center" vertical="center"/>
    </xf>
    <xf numFmtId="0" fontId="30" fillId="3" borderId="2" xfId="0" applyFont="1" applyFill="1" applyBorder="1" applyAlignment="1">
      <alignment horizontal="center" vertical="center" wrapText="1"/>
    </xf>
    <xf numFmtId="164" fontId="27" fillId="0" borderId="9" xfId="1" applyFont="1" applyBorder="1" applyAlignment="1">
      <alignment vertical="center"/>
    </xf>
    <xf numFmtId="164" fontId="23" fillId="0" borderId="45" xfId="1" applyFont="1" applyBorder="1" applyAlignment="1">
      <alignment vertical="center"/>
    </xf>
    <xf numFmtId="164" fontId="23" fillId="0" borderId="0" xfId="1" applyFont="1" applyBorder="1" applyAlignment="1">
      <alignment vertical="center"/>
    </xf>
    <xf numFmtId="164" fontId="5" fillId="0" borderId="0" xfId="1" applyFont="1" applyBorder="1" applyAlignment="1">
      <alignment horizontal="center" vertical="center"/>
    </xf>
    <xf numFmtId="164" fontId="2" fillId="0" borderId="9" xfId="1" applyFont="1" applyBorder="1" applyAlignment="1">
      <alignment vertical="center"/>
    </xf>
    <xf numFmtId="14" fontId="23" fillId="3" borderId="30" xfId="0" applyNumberFormat="1" applyFont="1" applyFill="1" applyBorder="1" applyAlignment="1">
      <alignment horizontal="center" vertical="center"/>
    </xf>
    <xf numFmtId="14" fontId="23" fillId="3" borderId="46" xfId="0" applyNumberFormat="1" applyFont="1" applyFill="1" applyBorder="1" applyAlignment="1">
      <alignment horizontal="center" vertical="center"/>
    </xf>
    <xf numFmtId="44" fontId="2" fillId="7" borderId="17" xfId="0" applyNumberFormat="1" applyFont="1" applyFill="1" applyBorder="1"/>
    <xf numFmtId="164" fontId="2" fillId="7" borderId="18" xfId="1" applyFont="1" applyFill="1" applyBorder="1" applyAlignment="1">
      <alignment horizontal="center"/>
    </xf>
    <xf numFmtId="164" fontId="2" fillId="7" borderId="14" xfId="0" applyNumberFormat="1" applyFont="1" applyFill="1" applyBorder="1"/>
    <xf numFmtId="164" fontId="2" fillId="0" borderId="18" xfId="1" applyFont="1" applyFill="1" applyBorder="1" applyAlignment="1">
      <alignment horizontal="center"/>
    </xf>
    <xf numFmtId="43" fontId="5" fillId="0" borderId="0" xfId="0" applyNumberFormat="1" applyFont="1" applyAlignment="1">
      <alignment vertic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3" fillId="0" borderId="9" xfId="0" applyFont="1" applyBorder="1" applyAlignment="1">
      <alignment horizontal="center" vertical="center" wrapText="1"/>
    </xf>
    <xf numFmtId="14" fontId="23" fillId="3" borderId="67" xfId="0" applyNumberFormat="1" applyFont="1" applyFill="1" applyBorder="1" applyAlignment="1">
      <alignment horizontal="center" vertical="center" wrapText="1"/>
    </xf>
    <xf numFmtId="14" fontId="23" fillId="3" borderId="68" xfId="0" applyNumberFormat="1" applyFont="1" applyFill="1" applyBorder="1" applyAlignment="1">
      <alignment horizontal="center" vertical="center" wrapText="1"/>
    </xf>
    <xf numFmtId="0" fontId="2" fillId="3" borderId="50" xfId="0" applyFont="1" applyFill="1" applyBorder="1" applyAlignment="1">
      <alignment horizontal="center" vertical="center" wrapText="1"/>
    </xf>
    <xf numFmtId="0" fontId="2" fillId="3" borderId="44" xfId="0" applyFont="1" applyFill="1" applyBorder="1" applyAlignment="1">
      <alignment horizontal="center" vertical="center" wrapText="1"/>
    </xf>
    <xf numFmtId="0" fontId="2" fillId="3" borderId="34" xfId="0" applyFont="1" applyFill="1" applyBorder="1" applyAlignment="1">
      <alignment horizontal="center" vertical="center" wrapText="1"/>
    </xf>
    <xf numFmtId="0" fontId="5" fillId="0" borderId="46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47" xfId="0" applyFont="1" applyBorder="1" applyAlignment="1">
      <alignment horizontal="center" vertical="center"/>
    </xf>
    <xf numFmtId="164" fontId="2" fillId="3" borderId="9" xfId="1" applyFont="1" applyFill="1" applyBorder="1" applyAlignment="1">
      <alignment horizontal="center" vertical="center"/>
    </xf>
    <xf numFmtId="0" fontId="5" fillId="3" borderId="55" xfId="0" applyFont="1" applyFill="1" applyBorder="1" applyAlignment="1">
      <alignment vertical="center"/>
    </xf>
    <xf numFmtId="0" fontId="5" fillId="3" borderId="57" xfId="0" applyFont="1" applyFill="1" applyBorder="1"/>
    <xf numFmtId="164" fontId="5" fillId="3" borderId="57" xfId="0" applyNumberFormat="1" applyFont="1" applyFill="1" applyBorder="1"/>
    <xf numFmtId="164" fontId="5" fillId="3" borderId="58" xfId="0" applyNumberFormat="1" applyFont="1" applyFill="1" applyBorder="1"/>
    <xf numFmtId="0" fontId="11" fillId="3" borderId="48" xfId="0" applyFont="1" applyFill="1" applyBorder="1" applyAlignment="1">
      <alignment horizontal="center"/>
    </xf>
    <xf numFmtId="0" fontId="11" fillId="3" borderId="49" xfId="0" applyFont="1" applyFill="1" applyBorder="1" applyAlignment="1">
      <alignment horizontal="center"/>
    </xf>
    <xf numFmtId="0" fontId="5" fillId="3" borderId="43" xfId="0" applyFont="1" applyFill="1" applyBorder="1"/>
    <xf numFmtId="0" fontId="5" fillId="3" borderId="9" xfId="0" applyFont="1" applyFill="1" applyBorder="1"/>
    <xf numFmtId="49" fontId="5" fillId="6" borderId="7" xfId="0" applyNumberFormat="1" applyFont="1" applyFill="1" applyBorder="1" applyAlignment="1">
      <alignment horizontal="right"/>
    </xf>
    <xf numFmtId="49" fontId="5" fillId="6" borderId="31" xfId="0" applyNumberFormat="1" applyFont="1" applyFill="1" applyBorder="1" applyAlignment="1">
      <alignment horizontal="right"/>
    </xf>
    <xf numFmtId="0" fontId="5" fillId="3" borderId="29" xfId="0" applyFont="1" applyFill="1" applyBorder="1" applyAlignment="1">
      <alignment horizontal="center"/>
    </xf>
    <xf numFmtId="0" fontId="5" fillId="3" borderId="0" xfId="0" applyFont="1" applyFill="1" applyAlignment="1">
      <alignment horizontal="center"/>
    </xf>
    <xf numFmtId="0" fontId="5" fillId="3" borderId="39" xfId="0" applyFont="1" applyFill="1" applyBorder="1" applyAlignment="1">
      <alignment horizontal="center"/>
    </xf>
    <xf numFmtId="0" fontId="5" fillId="6" borderId="5" xfId="0" applyFont="1" applyFill="1" applyBorder="1"/>
    <xf numFmtId="0" fontId="5" fillId="6" borderId="40" xfId="0" applyFont="1" applyFill="1" applyBorder="1"/>
    <xf numFmtId="0" fontId="5" fillId="6" borderId="6" xfId="0" applyFont="1" applyFill="1" applyBorder="1"/>
    <xf numFmtId="0" fontId="5" fillId="6" borderId="26" xfId="0" applyFont="1" applyFill="1" applyBorder="1"/>
    <xf numFmtId="0" fontId="5" fillId="6" borderId="6" xfId="0" applyFont="1" applyFill="1" applyBorder="1" applyAlignment="1">
      <alignment horizontal="center"/>
    </xf>
    <xf numFmtId="0" fontId="5" fillId="6" borderId="26" xfId="0" applyFont="1" applyFill="1" applyBorder="1" applyAlignment="1">
      <alignment horizontal="center"/>
    </xf>
    <xf numFmtId="0" fontId="5" fillId="6" borderId="31" xfId="0" applyFont="1" applyFill="1" applyBorder="1" applyAlignment="1">
      <alignment horizontal="center"/>
    </xf>
    <xf numFmtId="0" fontId="5" fillId="3" borderId="5" xfId="0" applyFont="1" applyFill="1" applyBorder="1" applyAlignment="1">
      <alignment vertical="center"/>
    </xf>
    <xf numFmtId="0" fontId="5" fillId="3" borderId="40" xfId="0" applyFont="1" applyFill="1" applyBorder="1"/>
    <xf numFmtId="164" fontId="5" fillId="3" borderId="56" xfId="0" applyNumberFormat="1" applyFont="1" applyFill="1" applyBorder="1"/>
    <xf numFmtId="164" fontId="5" fillId="3" borderId="51" xfId="0" applyNumberFormat="1" applyFont="1" applyFill="1" applyBorder="1"/>
    <xf numFmtId="0" fontId="5" fillId="3" borderId="15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5" fillId="3" borderId="16" xfId="0" applyFont="1" applyFill="1" applyBorder="1" applyAlignment="1">
      <alignment horizontal="center"/>
    </xf>
    <xf numFmtId="164" fontId="5" fillId="3" borderId="64" xfId="0" applyNumberFormat="1" applyFont="1" applyFill="1" applyBorder="1"/>
    <xf numFmtId="164" fontId="5" fillId="3" borderId="65" xfId="0" applyNumberFormat="1" applyFont="1" applyFill="1" applyBorder="1"/>
    <xf numFmtId="164" fontId="5" fillId="0" borderId="57" xfId="0" applyNumberFormat="1" applyFont="1" applyBorder="1"/>
    <xf numFmtId="164" fontId="5" fillId="0" borderId="58" xfId="0" applyNumberFormat="1" applyFont="1" applyBorder="1"/>
    <xf numFmtId="164" fontId="0" fillId="0" borderId="45" xfId="0" applyNumberFormat="1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23" fillId="0" borderId="66" xfId="0" applyFont="1" applyBorder="1" applyAlignment="1">
      <alignment horizontal="center" vertical="center" wrapText="1"/>
    </xf>
    <xf numFmtId="0" fontId="23" fillId="0" borderId="45" xfId="0" applyFont="1" applyBorder="1" applyAlignment="1">
      <alignment horizontal="center" vertical="center" wrapText="1"/>
    </xf>
    <xf numFmtId="0" fontId="23" fillId="0" borderId="36" xfId="0" applyFont="1" applyBorder="1" applyAlignment="1">
      <alignment horizontal="center" vertical="center" wrapText="1"/>
    </xf>
    <xf numFmtId="14" fontId="23" fillId="3" borderId="9" xfId="0" applyNumberFormat="1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4" fillId="3" borderId="16" xfId="0" applyFont="1" applyFill="1" applyBorder="1" applyAlignment="1">
      <alignment horizontal="center"/>
    </xf>
    <xf numFmtId="0" fontId="4" fillId="3" borderId="29" xfId="0" applyFont="1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39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0" fontId="4" fillId="3" borderId="26" xfId="0" applyFont="1" applyFill="1" applyBorder="1" applyAlignment="1">
      <alignment horizontal="center"/>
    </xf>
    <xf numFmtId="0" fontId="4" fillId="3" borderId="31" xfId="0" applyFont="1" applyFill="1" applyBorder="1" applyAlignment="1">
      <alignment horizontal="center"/>
    </xf>
    <xf numFmtId="0" fontId="4" fillId="3" borderId="10" xfId="0" applyFont="1" applyFill="1" applyBorder="1"/>
    <xf numFmtId="0" fontId="5" fillId="3" borderId="11" xfId="0" applyFont="1" applyFill="1" applyBorder="1"/>
    <xf numFmtId="0" fontId="5" fillId="3" borderId="12" xfId="0" applyFont="1" applyFill="1" applyBorder="1"/>
    <xf numFmtId="49" fontId="4" fillId="3" borderId="6" xfId="0" applyNumberFormat="1" applyFont="1" applyFill="1" applyBorder="1" applyAlignment="1">
      <alignment horizontal="right"/>
    </xf>
    <xf numFmtId="49" fontId="4" fillId="3" borderId="26" xfId="0" applyNumberFormat="1" applyFont="1" applyFill="1" applyBorder="1" applyAlignment="1">
      <alignment horizontal="right"/>
    </xf>
    <xf numFmtId="49" fontId="4" fillId="3" borderId="31" xfId="0" applyNumberFormat="1" applyFont="1" applyFill="1" applyBorder="1" applyAlignment="1">
      <alignment horizontal="right"/>
    </xf>
    <xf numFmtId="0" fontId="2" fillId="3" borderId="18" xfId="0" applyFont="1" applyFill="1" applyBorder="1"/>
    <xf numFmtId="0" fontId="2" fillId="3" borderId="30" xfId="0" applyFont="1" applyFill="1" applyBorder="1"/>
    <xf numFmtId="14" fontId="2" fillId="3" borderId="43" xfId="0" applyNumberFormat="1" applyFont="1" applyFill="1" applyBorder="1" applyAlignment="1">
      <alignment horizontal="center"/>
    </xf>
    <xf numFmtId="14" fontId="2" fillId="3" borderId="9" xfId="0" applyNumberFormat="1" applyFont="1" applyFill="1" applyBorder="1" applyAlignment="1">
      <alignment horizontal="center"/>
    </xf>
    <xf numFmtId="14" fontId="2" fillId="3" borderId="41" xfId="0" applyNumberFormat="1" applyFont="1" applyFill="1" applyBorder="1" applyAlignment="1">
      <alignment horizontal="center"/>
    </xf>
    <xf numFmtId="0" fontId="2" fillId="3" borderId="19" xfId="0" applyFont="1" applyFill="1" applyBorder="1"/>
    <xf numFmtId="0" fontId="2" fillId="3" borderId="61" xfId="0" applyFont="1" applyFill="1" applyBorder="1"/>
    <xf numFmtId="0" fontId="2" fillId="3" borderId="55" xfId="0" applyFont="1" applyFill="1" applyBorder="1" applyAlignment="1">
      <alignment horizontal="center"/>
    </xf>
    <xf numFmtId="0" fontId="2" fillId="3" borderId="57" xfId="0" applyFont="1" applyFill="1" applyBorder="1" applyAlignment="1">
      <alignment horizontal="center"/>
    </xf>
    <xf numFmtId="0" fontId="2" fillId="3" borderId="58" xfId="0" applyFont="1" applyFill="1" applyBorder="1" applyAlignment="1">
      <alignment horizontal="center"/>
    </xf>
    <xf numFmtId="0" fontId="5" fillId="3" borderId="10" xfId="0" applyFont="1" applyFill="1" applyBorder="1" applyAlignment="1">
      <alignment horizontal="center"/>
    </xf>
    <xf numFmtId="0" fontId="5" fillId="3" borderId="10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5" fillId="3" borderId="31" xfId="0" applyFont="1" applyFill="1" applyBorder="1" applyAlignment="1">
      <alignment horizontal="center" vertical="center"/>
    </xf>
    <xf numFmtId="0" fontId="4" fillId="3" borderId="62" xfId="0" applyFont="1" applyFill="1" applyBorder="1"/>
    <xf numFmtId="0" fontId="5" fillId="3" borderId="63" xfId="0" applyFont="1" applyFill="1" applyBorder="1"/>
    <xf numFmtId="0" fontId="5" fillId="3" borderId="64" xfId="0" applyFont="1" applyFill="1" applyBorder="1"/>
    <xf numFmtId="49" fontId="4" fillId="3" borderId="5" xfId="0" applyNumberFormat="1" applyFont="1" applyFill="1" applyBorder="1" applyAlignment="1">
      <alignment horizontal="right"/>
    </xf>
    <xf numFmtId="49" fontId="4" fillId="3" borderId="40" xfId="0" applyNumberFormat="1" applyFont="1" applyFill="1" applyBorder="1" applyAlignment="1">
      <alignment horizontal="right"/>
    </xf>
    <xf numFmtId="49" fontId="4" fillId="3" borderId="65" xfId="0" applyNumberFormat="1" applyFont="1" applyFill="1" applyBorder="1" applyAlignment="1">
      <alignment horizontal="right"/>
    </xf>
    <xf numFmtId="0" fontId="2" fillId="3" borderId="23" xfId="0" applyFont="1" applyFill="1" applyBorder="1"/>
    <xf numFmtId="0" fontId="2" fillId="3" borderId="20" xfId="0" applyFont="1" applyFill="1" applyBorder="1"/>
    <xf numFmtId="14" fontId="2" fillId="3" borderId="53" xfId="0" applyNumberFormat="1" applyFont="1" applyFill="1" applyBorder="1" applyAlignment="1">
      <alignment horizontal="center"/>
    </xf>
    <xf numFmtId="14" fontId="2" fillId="3" borderId="8" xfId="0" applyNumberFormat="1" applyFont="1" applyFill="1" applyBorder="1" applyAlignment="1">
      <alignment horizontal="center"/>
    </xf>
    <xf numFmtId="14" fontId="2" fillId="3" borderId="37" xfId="0" applyNumberFormat="1" applyFont="1" applyFill="1" applyBorder="1" applyAlignment="1">
      <alignment horizontal="center"/>
    </xf>
    <xf numFmtId="0" fontId="2" fillId="3" borderId="43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/>
    </xf>
    <xf numFmtId="0" fontId="2" fillId="3" borderId="41" xfId="0" applyFont="1" applyFill="1" applyBorder="1" applyAlignment="1">
      <alignment horizontal="center"/>
    </xf>
    <xf numFmtId="0" fontId="2" fillId="3" borderId="43" xfId="0" applyFont="1" applyFill="1" applyBorder="1"/>
    <xf numFmtId="0" fontId="2" fillId="3" borderId="9" xfId="0" applyFont="1" applyFill="1" applyBorder="1"/>
    <xf numFmtId="0" fontId="2" fillId="3" borderId="46" xfId="0" applyFont="1" applyFill="1" applyBorder="1"/>
    <xf numFmtId="164" fontId="5" fillId="3" borderId="43" xfId="0" applyNumberFormat="1" applyFont="1" applyFill="1" applyBorder="1" applyAlignment="1">
      <alignment horizontal="center"/>
    </xf>
    <xf numFmtId="164" fontId="5" fillId="3" borderId="9" xfId="0" applyNumberFormat="1" applyFont="1" applyFill="1" applyBorder="1" applyAlignment="1">
      <alignment horizontal="center"/>
    </xf>
    <xf numFmtId="164" fontId="5" fillId="3" borderId="41" xfId="0" applyNumberFormat="1" applyFont="1" applyFill="1" applyBorder="1" applyAlignment="1">
      <alignment horizontal="center"/>
    </xf>
    <xf numFmtId="0" fontId="2" fillId="3" borderId="41" xfId="0" applyFont="1" applyFill="1" applyBorder="1"/>
    <xf numFmtId="0" fontId="2" fillId="3" borderId="55" xfId="0" applyFont="1" applyFill="1" applyBorder="1"/>
    <xf numFmtId="0" fontId="2" fillId="3" borderId="57" xfId="0" applyFont="1" applyFill="1" applyBorder="1"/>
    <xf numFmtId="0" fontId="2" fillId="3" borderId="56" xfId="0" applyFont="1" applyFill="1" applyBorder="1"/>
    <xf numFmtId="14" fontId="2" fillId="3" borderId="55" xfId="0" applyNumberFormat="1" applyFont="1" applyFill="1" applyBorder="1" applyAlignment="1">
      <alignment horizontal="center"/>
    </xf>
    <xf numFmtId="14" fontId="2" fillId="3" borderId="57" xfId="0" applyNumberFormat="1" applyFont="1" applyFill="1" applyBorder="1" applyAlignment="1">
      <alignment horizontal="center"/>
    </xf>
    <xf numFmtId="14" fontId="2" fillId="3" borderId="58" xfId="0" applyNumberFormat="1" applyFont="1" applyFill="1" applyBorder="1" applyAlignment="1">
      <alignment horizontal="center"/>
    </xf>
    <xf numFmtId="0" fontId="2" fillId="3" borderId="59" xfId="0" applyFont="1" applyFill="1" applyBorder="1" applyAlignment="1">
      <alignment horizontal="center" vertical="center"/>
    </xf>
    <xf numFmtId="0" fontId="2" fillId="3" borderId="34" xfId="0" applyFont="1" applyFill="1" applyBorder="1" applyAlignment="1">
      <alignment horizontal="center" vertical="center"/>
    </xf>
    <xf numFmtId="0" fontId="2" fillId="3" borderId="34" xfId="0" applyFont="1" applyFill="1" applyBorder="1" applyAlignment="1">
      <alignment horizontal="center"/>
    </xf>
    <xf numFmtId="0" fontId="2" fillId="3" borderId="60" xfId="0" applyFont="1" applyFill="1" applyBorder="1" applyAlignment="1">
      <alignment horizontal="center"/>
    </xf>
    <xf numFmtId="0" fontId="2" fillId="3" borderId="20" xfId="0" applyFont="1" applyFill="1" applyBorder="1" applyAlignment="1">
      <alignment horizontal="center"/>
    </xf>
    <xf numFmtId="0" fontId="2" fillId="3" borderId="21" xfId="0" applyFont="1" applyFill="1" applyBorder="1" applyAlignment="1">
      <alignment horizontal="center"/>
    </xf>
    <xf numFmtId="0" fontId="27" fillId="3" borderId="19" xfId="0" applyFont="1" applyFill="1" applyBorder="1"/>
    <xf numFmtId="0" fontId="27" fillId="3" borderId="61" xfId="0" applyFont="1" applyFill="1" applyBorder="1"/>
    <xf numFmtId="0" fontId="27" fillId="3" borderId="51" xfId="0" applyFont="1" applyFill="1" applyBorder="1"/>
    <xf numFmtId="0" fontId="4" fillId="3" borderId="0" xfId="0" applyFont="1" applyFill="1" applyAlignment="1">
      <alignment horizontal="center" vertical="center"/>
    </xf>
    <xf numFmtId="0" fontId="2" fillId="3" borderId="53" xfId="0" applyFont="1" applyFill="1" applyBorder="1"/>
    <xf numFmtId="0" fontId="2" fillId="3" borderId="8" xfId="0" applyFont="1" applyFill="1" applyBorder="1"/>
    <xf numFmtId="0" fontId="2" fillId="3" borderId="60" xfId="0" applyFont="1" applyFill="1" applyBorder="1"/>
    <xf numFmtId="0" fontId="2" fillId="3" borderId="53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2" fillId="3" borderId="37" xfId="0" applyFont="1" applyFill="1" applyBorder="1" applyAlignment="1">
      <alignment horizontal="center"/>
    </xf>
    <xf numFmtId="0" fontId="4" fillId="3" borderId="6" xfId="0" applyFont="1" applyFill="1" applyBorder="1"/>
    <xf numFmtId="0" fontId="4" fillId="3" borderId="26" xfId="0" applyFont="1" applyFill="1" applyBorder="1"/>
    <xf numFmtId="0" fontId="4" fillId="3" borderId="31" xfId="0" applyFont="1" applyFill="1" applyBorder="1"/>
    <xf numFmtId="0" fontId="5" fillId="3" borderId="6" xfId="0" applyFont="1" applyFill="1" applyBorder="1" applyAlignment="1">
      <alignment horizontal="center"/>
    </xf>
    <xf numFmtId="0" fontId="5" fillId="3" borderId="26" xfId="0" applyFont="1" applyFill="1" applyBorder="1" applyAlignment="1">
      <alignment horizontal="center"/>
    </xf>
    <xf numFmtId="0" fontId="2" fillId="3" borderId="23" xfId="0" applyFont="1" applyFill="1" applyBorder="1" applyAlignment="1">
      <alignment horizontal="left"/>
    </xf>
    <xf numFmtId="0" fontId="2" fillId="3" borderId="21" xfId="0" applyFont="1" applyFill="1" applyBorder="1" applyAlignment="1">
      <alignment horizontal="left"/>
    </xf>
    <xf numFmtId="0" fontId="2" fillId="3" borderId="37" xfId="0" applyFont="1" applyFill="1" applyBorder="1"/>
    <xf numFmtId="0" fontId="2" fillId="3" borderId="52" xfId="0" applyFont="1" applyFill="1" applyBorder="1"/>
    <xf numFmtId="0" fontId="5" fillId="3" borderId="31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 vertical="center"/>
    </xf>
    <xf numFmtId="0" fontId="4" fillId="3" borderId="26" xfId="0" applyFont="1" applyFill="1" applyBorder="1" applyAlignment="1">
      <alignment horizontal="center" vertical="center"/>
    </xf>
    <xf numFmtId="0" fontId="4" fillId="3" borderId="31" xfId="0" applyFont="1" applyFill="1" applyBorder="1" applyAlignment="1">
      <alignment horizontal="center" vertical="center"/>
    </xf>
    <xf numFmtId="0" fontId="2" fillId="3" borderId="51" xfId="0" applyFont="1" applyFill="1" applyBorder="1"/>
    <xf numFmtId="0" fontId="2" fillId="3" borderId="18" xfId="0" applyFont="1" applyFill="1" applyBorder="1" applyAlignment="1">
      <alignment horizontal="left"/>
    </xf>
    <xf numFmtId="0" fontId="2" fillId="3" borderId="52" xfId="0" applyFont="1" applyFill="1" applyBorder="1" applyAlignment="1">
      <alignment horizontal="left"/>
    </xf>
    <xf numFmtId="0" fontId="2" fillId="3" borderId="42" xfId="0" applyFont="1" applyFill="1" applyBorder="1"/>
    <xf numFmtId="0" fontId="2" fillId="3" borderId="54" xfId="0" applyFont="1" applyFill="1" applyBorder="1"/>
    <xf numFmtId="0" fontId="4" fillId="3" borderId="26" xfId="0" applyFont="1" applyFill="1" applyBorder="1" applyAlignment="1">
      <alignment horizontal="center" wrapText="1"/>
    </xf>
    <xf numFmtId="0" fontId="4" fillId="3" borderId="31" xfId="0" applyFont="1" applyFill="1" applyBorder="1" applyAlignment="1">
      <alignment horizontal="center" wrapText="1"/>
    </xf>
    <xf numFmtId="0" fontId="7" fillId="3" borderId="0" xfId="0" applyFont="1" applyFill="1" applyAlignment="1">
      <alignment horizontal="left"/>
    </xf>
    <xf numFmtId="0" fontId="2" fillId="3" borderId="30" xfId="0" applyFont="1" applyFill="1" applyBorder="1" applyAlignment="1">
      <alignment horizontal="left"/>
    </xf>
    <xf numFmtId="0" fontId="4" fillId="3" borderId="6" xfId="0" applyFont="1" applyFill="1" applyBorder="1" applyAlignment="1">
      <alignment horizontal="center" wrapText="1"/>
    </xf>
    <xf numFmtId="0" fontId="2" fillId="3" borderId="21" xfId="0" applyFont="1" applyFill="1" applyBorder="1"/>
    <xf numFmtId="0" fontId="7" fillId="3" borderId="26" xfId="0" applyFont="1" applyFill="1" applyBorder="1" applyAlignment="1">
      <alignment horizontal="left"/>
    </xf>
    <xf numFmtId="0" fontId="2" fillId="3" borderId="19" xfId="0" applyFont="1" applyFill="1" applyBorder="1" applyAlignment="1">
      <alignment horizontal="left"/>
    </xf>
    <xf numFmtId="0" fontId="2" fillId="3" borderId="51" xfId="0" applyFont="1" applyFill="1" applyBorder="1" applyAlignment="1">
      <alignment horizontal="left"/>
    </xf>
    <xf numFmtId="0" fontId="4" fillId="3" borderId="40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 vertical="center"/>
    </xf>
    <xf numFmtId="0" fontId="4" fillId="3" borderId="40" xfId="0" applyFont="1" applyFill="1" applyBorder="1" applyAlignment="1">
      <alignment horizontal="center" vertical="center"/>
    </xf>
    <xf numFmtId="0" fontId="2" fillId="3" borderId="6" xfId="0" applyFont="1" applyFill="1" applyBorder="1"/>
    <xf numFmtId="0" fontId="2" fillId="3" borderId="31" xfId="0" applyFont="1" applyFill="1" applyBorder="1"/>
    <xf numFmtId="0" fontId="12" fillId="0" borderId="9" xfId="0" applyFont="1" applyBorder="1" applyAlignment="1">
      <alignment horizontal="center"/>
    </xf>
    <xf numFmtId="171" fontId="12" fillId="0" borderId="46" xfId="0" applyNumberFormat="1" applyFont="1" applyBorder="1" applyAlignment="1">
      <alignment horizontal="center"/>
    </xf>
    <xf numFmtId="171" fontId="12" fillId="0" borderId="30" xfId="0" applyNumberFormat="1" applyFont="1" applyBorder="1" applyAlignment="1">
      <alignment horizontal="center"/>
    </xf>
    <xf numFmtId="171" fontId="12" fillId="0" borderId="47" xfId="0" applyNumberFormat="1" applyFont="1" applyBorder="1" applyAlignment="1">
      <alignment horizontal="center"/>
    </xf>
    <xf numFmtId="171" fontId="13" fillId="0" borderId="44" xfId="0" applyNumberFormat="1" applyFont="1" applyBorder="1" applyAlignment="1">
      <alignment horizontal="center" vertical="center" wrapText="1"/>
    </xf>
    <xf numFmtId="0" fontId="14" fillId="0" borderId="46" xfId="0" applyFont="1" applyBorder="1" applyAlignment="1">
      <alignment horizontal="left" vertical="center"/>
    </xf>
    <xf numFmtId="0" fontId="14" fillId="0" borderId="30" xfId="0" applyFont="1" applyBorder="1" applyAlignment="1">
      <alignment horizontal="left" vertical="center"/>
    </xf>
    <xf numFmtId="0" fontId="14" fillId="0" borderId="47" xfId="0" applyFont="1" applyBorder="1" applyAlignment="1">
      <alignment horizontal="left" vertical="center"/>
    </xf>
    <xf numFmtId="171" fontId="12" fillId="0" borderId="46" xfId="0" applyNumberFormat="1" applyFont="1" applyBorder="1" applyAlignment="1">
      <alignment horizontal="center" vertical="center" wrapText="1"/>
    </xf>
    <xf numFmtId="171" fontId="12" fillId="0" borderId="30" xfId="0" applyNumberFormat="1" applyFont="1" applyBorder="1" applyAlignment="1">
      <alignment horizontal="center" vertical="center" wrapText="1"/>
    </xf>
    <xf numFmtId="171" fontId="12" fillId="0" borderId="47" xfId="0" applyNumberFormat="1" applyFont="1" applyBorder="1" applyAlignment="1">
      <alignment horizontal="center" vertical="center" wrapText="1"/>
    </xf>
    <xf numFmtId="171" fontId="31" fillId="0" borderId="46" xfId="0" applyNumberFormat="1" applyFont="1" applyBorder="1" applyAlignment="1">
      <alignment horizontal="justify" vertical="justify" wrapText="1"/>
    </xf>
    <xf numFmtId="171" fontId="31" fillId="0" borderId="30" xfId="0" applyNumberFormat="1" applyFont="1" applyBorder="1" applyAlignment="1">
      <alignment horizontal="justify" vertical="justify" wrapText="1"/>
    </xf>
    <xf numFmtId="171" fontId="31" fillId="0" borderId="47" xfId="0" applyNumberFormat="1" applyFont="1" applyBorder="1" applyAlignment="1">
      <alignment horizontal="justify" vertical="justify" wrapText="1"/>
    </xf>
    <xf numFmtId="0" fontId="31" fillId="3" borderId="46" xfId="0" applyFont="1" applyFill="1" applyBorder="1" applyAlignment="1">
      <alignment horizontal="center" vertical="center" wrapText="1"/>
    </xf>
    <xf numFmtId="0" fontId="31" fillId="3" borderId="30" xfId="0" applyFont="1" applyFill="1" applyBorder="1" applyAlignment="1">
      <alignment horizontal="center" vertical="center" wrapText="1"/>
    </xf>
    <xf numFmtId="171" fontId="32" fillId="0" borderId="46" xfId="0" applyNumberFormat="1" applyFont="1" applyBorder="1" applyAlignment="1">
      <alignment horizontal="center" vertical="justify" wrapText="1"/>
    </xf>
    <xf numFmtId="171" fontId="32" fillId="0" borderId="30" xfId="0" applyNumberFormat="1" applyFont="1" applyBorder="1" applyAlignment="1">
      <alignment horizontal="center" vertical="justify" wrapText="1"/>
    </xf>
    <xf numFmtId="171" fontId="32" fillId="0" borderId="47" xfId="0" applyNumberFormat="1" applyFont="1" applyBorder="1" applyAlignment="1">
      <alignment horizontal="center" vertical="justify" wrapText="1"/>
    </xf>
    <xf numFmtId="0" fontId="21" fillId="3" borderId="46" xfId="0" applyFont="1" applyFill="1" applyBorder="1" applyAlignment="1">
      <alignment horizontal="center" vertical="center" wrapText="1"/>
    </xf>
    <xf numFmtId="0" fontId="21" fillId="3" borderId="30" xfId="0" applyFont="1" applyFill="1" applyBorder="1" applyAlignment="1">
      <alignment horizontal="center" vertical="center" wrapText="1"/>
    </xf>
    <xf numFmtId="0" fontId="21" fillId="3" borderId="47" xfId="0" applyFont="1" applyFill="1" applyBorder="1" applyAlignment="1">
      <alignment horizontal="center" vertical="center" wrapText="1"/>
    </xf>
    <xf numFmtId="172" fontId="14" fillId="0" borderId="46" xfId="1" applyNumberFormat="1" applyFont="1" applyBorder="1" applyAlignment="1">
      <alignment horizontal="center" vertical="center"/>
    </xf>
    <xf numFmtId="172" fontId="14" fillId="0" borderId="47" xfId="1" applyNumberFormat="1" applyFont="1" applyBorder="1" applyAlignment="1">
      <alignment horizontal="center" vertical="center"/>
    </xf>
    <xf numFmtId="0" fontId="0" fillId="3" borderId="9" xfId="0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11" fillId="3" borderId="9" xfId="0" applyFont="1" applyFill="1" applyBorder="1" applyAlignment="1">
      <alignment horizontal="center"/>
    </xf>
    <xf numFmtId="0" fontId="23" fillId="0" borderId="50" xfId="0" applyFont="1" applyBorder="1" applyAlignment="1">
      <alignment horizontal="center" vertical="center" wrapText="1"/>
    </xf>
    <xf numFmtId="0" fontId="23" fillId="0" borderId="44" xfId="0" applyFont="1" applyBorder="1" applyAlignment="1">
      <alignment horizontal="center" vertical="center" wrapText="1"/>
    </xf>
    <xf numFmtId="0" fontId="23" fillId="0" borderId="34" xfId="0" applyFont="1" applyBorder="1" applyAlignment="1">
      <alignment horizontal="center" vertical="center" wrapText="1"/>
    </xf>
    <xf numFmtId="14" fontId="23" fillId="3" borderId="50" xfId="0" applyNumberFormat="1" applyFont="1" applyFill="1" applyBorder="1" applyAlignment="1">
      <alignment horizontal="center" vertical="center" wrapText="1"/>
    </xf>
    <xf numFmtId="14" fontId="23" fillId="3" borderId="44" xfId="0" applyNumberFormat="1" applyFont="1" applyFill="1" applyBorder="1" applyAlignment="1">
      <alignment horizontal="center" vertical="center" wrapText="1"/>
    </xf>
    <xf numFmtId="14" fontId="23" fillId="3" borderId="34" xfId="0" applyNumberFormat="1" applyFont="1" applyFill="1" applyBorder="1" applyAlignment="1">
      <alignment horizontal="center" vertical="center" wrapText="1"/>
    </xf>
  </cellXfs>
  <cellStyles count="7">
    <cellStyle name="Moeda" xfId="1" builtinId="4"/>
    <cellStyle name="Moeda 2" xfId="2" xr:uid="{14A7C50E-B46D-4E11-8E94-33F90C75CFF1}"/>
    <cellStyle name="Normal" xfId="0" builtinId="0"/>
    <cellStyle name="Normal 2" xfId="3" xr:uid="{032D308B-B0B8-449E-B3D2-8A54FD757F18}"/>
    <cellStyle name="Porcentagem" xfId="4" builtinId="5"/>
    <cellStyle name="Separador de milhares 2" xfId="5" xr:uid="{951AE94A-7BA4-463A-ACD8-FBBE1E7C82ED}"/>
    <cellStyle name="Vírgula" xfId="6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FFFFFF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F3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112758-75C6-49E8-811E-515E89351896}">
  <dimension ref="A1:Q154"/>
  <sheetViews>
    <sheetView view="pageBreakPreview" zoomScaleNormal="100" zoomScaleSheetLayoutView="100" workbookViewId="0">
      <selection activeCell="I109" sqref="I109"/>
    </sheetView>
  </sheetViews>
  <sheetFormatPr defaultRowHeight="12.75" x14ac:dyDescent="0.2"/>
  <cols>
    <col min="1" max="1" width="1.7109375" customWidth="1"/>
    <col min="2" max="2" width="29.85546875" customWidth="1"/>
    <col min="3" max="3" width="18.7109375" customWidth="1"/>
    <col min="4" max="4" width="12.5703125" customWidth="1"/>
    <col min="5" max="5" width="15.42578125" customWidth="1"/>
    <col min="6" max="6" width="13" customWidth="1"/>
    <col min="7" max="7" width="14.5703125" customWidth="1"/>
    <col min="8" max="8" width="15.85546875" customWidth="1"/>
    <col min="9" max="9" width="17.42578125" customWidth="1"/>
    <col min="10" max="10" width="15.140625" customWidth="1"/>
    <col min="11" max="11" width="18.7109375" customWidth="1"/>
    <col min="12" max="12" width="15.5703125" customWidth="1"/>
    <col min="13" max="13" width="16.7109375" customWidth="1"/>
    <col min="14" max="14" width="18.5703125" customWidth="1"/>
    <col min="15" max="15" width="17.7109375" customWidth="1"/>
    <col min="16" max="16" width="18.42578125" customWidth="1"/>
    <col min="17" max="17" width="13.42578125" customWidth="1"/>
  </cols>
  <sheetData>
    <row r="1" spans="1:14" ht="13.5" thickBot="1" x14ac:dyDescent="0.25">
      <c r="A1" s="10" t="s">
        <v>71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</row>
    <row r="2" spans="1:14" x14ac:dyDescent="0.2">
      <c r="A2" s="14"/>
      <c r="B2" s="350" t="s">
        <v>17</v>
      </c>
      <c r="C2" s="351"/>
      <c r="D2" s="351"/>
      <c r="E2" s="351"/>
      <c r="F2" s="351"/>
      <c r="G2" s="352"/>
      <c r="H2" s="14"/>
      <c r="I2" s="14"/>
      <c r="J2" s="14"/>
      <c r="K2" s="14"/>
      <c r="L2" s="14"/>
      <c r="M2" s="14"/>
      <c r="N2" s="14"/>
    </row>
    <row r="3" spans="1:14" x14ac:dyDescent="0.2">
      <c r="A3" s="14"/>
      <c r="B3" s="336" t="s">
        <v>18</v>
      </c>
      <c r="C3" s="337"/>
      <c r="D3" s="337"/>
      <c r="E3" s="337"/>
      <c r="F3" s="337"/>
      <c r="G3" s="338"/>
      <c r="H3" s="14"/>
      <c r="I3" s="14"/>
      <c r="J3" s="14"/>
      <c r="K3" s="14"/>
      <c r="L3" s="14"/>
      <c r="M3" s="14"/>
      <c r="N3" s="14"/>
    </row>
    <row r="4" spans="1:14" x14ac:dyDescent="0.2">
      <c r="A4" s="14"/>
      <c r="B4" s="336" t="s">
        <v>19</v>
      </c>
      <c r="C4" s="337"/>
      <c r="D4" s="337"/>
      <c r="E4" s="337"/>
      <c r="F4" s="337"/>
      <c r="G4" s="338"/>
      <c r="H4" s="14"/>
      <c r="I4" s="14"/>
      <c r="J4" s="14"/>
      <c r="K4" s="14"/>
      <c r="L4" s="14"/>
      <c r="M4" s="14"/>
      <c r="N4" s="14"/>
    </row>
    <row r="5" spans="1:14" ht="13.5" thickBot="1" x14ac:dyDescent="0.25">
      <c r="A5" s="14"/>
      <c r="B5" s="336" t="s">
        <v>126</v>
      </c>
      <c r="C5" s="337"/>
      <c r="D5" s="337"/>
      <c r="E5" s="337"/>
      <c r="F5" s="337"/>
      <c r="G5" s="338"/>
      <c r="H5" s="14"/>
      <c r="I5" s="14"/>
      <c r="J5" s="14"/>
      <c r="K5" s="14"/>
      <c r="L5" s="14"/>
      <c r="M5" s="14"/>
      <c r="N5" s="14"/>
    </row>
    <row r="6" spans="1:14" ht="13.5" thickBot="1" x14ac:dyDescent="0.25">
      <c r="A6" s="14"/>
      <c r="B6" s="343" t="s">
        <v>32</v>
      </c>
      <c r="C6" s="344"/>
      <c r="D6" s="344"/>
      <c r="E6" s="344"/>
      <c r="F6" s="344"/>
      <c r="G6" s="345"/>
      <c r="H6" s="14"/>
      <c r="I6" s="14"/>
      <c r="J6" s="14"/>
      <c r="K6" s="14"/>
      <c r="L6" s="14"/>
      <c r="M6" s="14"/>
      <c r="N6" s="14"/>
    </row>
    <row r="7" spans="1:14" ht="13.5" thickBot="1" x14ac:dyDescent="0.25">
      <c r="A7" s="14"/>
      <c r="B7" s="339" t="s">
        <v>20</v>
      </c>
      <c r="C7" s="340"/>
      <c r="D7" s="340"/>
      <c r="E7" s="340"/>
      <c r="F7" s="334" t="s">
        <v>221</v>
      </c>
      <c r="G7" s="335"/>
      <c r="H7" s="14"/>
      <c r="I7" s="14"/>
      <c r="J7" s="14"/>
      <c r="K7" s="14"/>
      <c r="L7" s="14"/>
      <c r="M7" s="14"/>
      <c r="N7" s="14"/>
    </row>
    <row r="8" spans="1:14" ht="13.5" thickBot="1" x14ac:dyDescent="0.25">
      <c r="A8" s="14"/>
      <c r="B8" s="341" t="s">
        <v>72</v>
      </c>
      <c r="C8" s="342"/>
      <c r="D8" s="342"/>
      <c r="E8" s="342"/>
      <c r="F8" s="334" t="s">
        <v>229</v>
      </c>
      <c r="G8" s="335"/>
      <c r="H8" s="14"/>
      <c r="I8" s="14"/>
      <c r="J8" s="14"/>
      <c r="K8" s="14"/>
      <c r="L8" s="14"/>
      <c r="M8" s="14"/>
      <c r="N8" s="14"/>
    </row>
    <row r="9" spans="1:14" ht="13.5" thickBot="1" x14ac:dyDescent="0.25">
      <c r="A9" s="14"/>
      <c r="B9" s="343" t="s">
        <v>130</v>
      </c>
      <c r="C9" s="344"/>
      <c r="D9" s="344"/>
      <c r="E9" s="344"/>
      <c r="F9" s="344"/>
      <c r="G9" s="345"/>
      <c r="H9" s="14"/>
      <c r="I9" s="14"/>
      <c r="J9" s="14"/>
      <c r="K9" s="14"/>
      <c r="L9" s="14"/>
      <c r="M9" s="14"/>
      <c r="N9" s="14"/>
    </row>
    <row r="10" spans="1:14" ht="13.5" thickBot="1" x14ac:dyDescent="0.25">
      <c r="A10" s="14"/>
      <c r="B10" s="20"/>
      <c r="C10" s="20"/>
      <c r="D10" s="20"/>
      <c r="E10" s="20"/>
      <c r="F10" s="20"/>
      <c r="G10" s="20"/>
      <c r="H10" s="14"/>
      <c r="I10" s="14"/>
      <c r="J10" s="14"/>
      <c r="K10" s="14"/>
      <c r="L10" s="14"/>
      <c r="M10" s="14"/>
      <c r="N10" s="14"/>
    </row>
    <row r="11" spans="1:14" ht="13.5" thickBot="1" x14ac:dyDescent="0.25">
      <c r="A11" s="14"/>
      <c r="B11" s="343" t="s">
        <v>68</v>
      </c>
      <c r="C11" s="344"/>
      <c r="D11" s="344"/>
      <c r="E11" s="344"/>
      <c r="F11" s="344"/>
      <c r="G11" s="345"/>
      <c r="H11" s="14"/>
      <c r="I11" s="14"/>
      <c r="J11" s="14"/>
      <c r="K11" s="14"/>
      <c r="L11" s="14"/>
      <c r="M11" s="14"/>
      <c r="N11" s="14"/>
    </row>
    <row r="12" spans="1:14" ht="51.75" thickBot="1" x14ac:dyDescent="0.25">
      <c r="A12" s="14"/>
      <c r="B12" s="21" t="s">
        <v>24</v>
      </c>
      <c r="C12" s="22" t="s">
        <v>61</v>
      </c>
      <c r="D12" s="22" t="s">
        <v>62</v>
      </c>
      <c r="E12" s="22" t="s">
        <v>63</v>
      </c>
      <c r="F12" s="22" t="s">
        <v>64</v>
      </c>
      <c r="G12" s="23" t="s">
        <v>65</v>
      </c>
      <c r="H12" s="14"/>
      <c r="I12" s="14"/>
      <c r="J12" s="14"/>
      <c r="K12" s="14"/>
      <c r="L12" s="14"/>
      <c r="M12" s="14"/>
      <c r="N12" s="14"/>
    </row>
    <row r="13" spans="1:14" x14ac:dyDescent="0.2">
      <c r="A13" s="14"/>
      <c r="B13" s="104" t="s">
        <v>230</v>
      </c>
      <c r="C13" s="18">
        <f>'Diurno Des'!$L$132</f>
        <v>7031.04</v>
      </c>
      <c r="D13" s="105">
        <v>2</v>
      </c>
      <c r="E13" s="17">
        <f t="shared" ref="E13:E19" si="0">C13*D13</f>
        <v>14062.08</v>
      </c>
      <c r="F13" s="107">
        <v>3</v>
      </c>
      <c r="G13" s="108">
        <f t="shared" ref="G13:G19" si="1">E13*F13</f>
        <v>42186.239999999998</v>
      </c>
      <c r="H13" s="131">
        <f>C13*5</f>
        <v>35155.199999999997</v>
      </c>
      <c r="I13" s="14">
        <f>30754.44/5</f>
        <v>6150.8879999999999</v>
      </c>
      <c r="J13" s="14">
        <f>'Diurno Des'!$F$132</f>
        <v>5975.61</v>
      </c>
      <c r="K13" s="14"/>
      <c r="L13" s="14"/>
      <c r="M13" s="14"/>
      <c r="N13" s="14"/>
    </row>
    <row r="14" spans="1:14" x14ac:dyDescent="0.2">
      <c r="A14" s="14"/>
      <c r="B14" s="143" t="s">
        <v>231</v>
      </c>
      <c r="C14" s="18">
        <f>'Diurno Arm'!$L$132</f>
        <v>7061.78</v>
      </c>
      <c r="D14" s="19">
        <v>2</v>
      </c>
      <c r="E14" s="106">
        <f t="shared" si="0"/>
        <v>14123.56</v>
      </c>
      <c r="F14" s="109">
        <v>9</v>
      </c>
      <c r="G14" s="110">
        <f t="shared" si="1"/>
        <v>127112.04</v>
      </c>
      <c r="H14" s="14"/>
      <c r="I14" s="14"/>
      <c r="J14" s="14"/>
      <c r="K14" s="14"/>
      <c r="L14" s="14"/>
      <c r="M14" s="14"/>
      <c r="N14" s="14"/>
    </row>
    <row r="15" spans="1:14" x14ac:dyDescent="0.2">
      <c r="A15" s="14"/>
      <c r="B15" s="143" t="s">
        <v>232</v>
      </c>
      <c r="C15" s="18">
        <f>'Not Des'!$L$132</f>
        <v>7736.85</v>
      </c>
      <c r="D15" s="19">
        <v>2</v>
      </c>
      <c r="E15" s="106">
        <f t="shared" si="0"/>
        <v>15473.7</v>
      </c>
      <c r="F15" s="190">
        <v>2</v>
      </c>
      <c r="G15" s="110">
        <f t="shared" si="1"/>
        <v>30947.4</v>
      </c>
      <c r="H15" s="14"/>
      <c r="I15" s="14"/>
      <c r="J15" s="14"/>
      <c r="K15" s="14"/>
      <c r="L15" s="14"/>
      <c r="M15" s="14"/>
      <c r="N15" s="14"/>
    </row>
    <row r="16" spans="1:14" x14ac:dyDescent="0.2">
      <c r="A16" s="14"/>
      <c r="B16" s="127" t="s">
        <v>233</v>
      </c>
      <c r="C16" s="18">
        <f>'Not Arm'!$L$132</f>
        <v>7742.72</v>
      </c>
      <c r="D16" s="19">
        <v>2</v>
      </c>
      <c r="E16" s="106">
        <f t="shared" si="0"/>
        <v>15485.44</v>
      </c>
      <c r="F16" s="190">
        <v>9</v>
      </c>
      <c r="G16" s="110">
        <f t="shared" si="1"/>
        <v>139368.95999999999</v>
      </c>
      <c r="H16" s="14"/>
      <c r="I16" s="14"/>
      <c r="J16" s="14"/>
      <c r="K16" s="14"/>
      <c r="L16" s="14"/>
      <c r="M16" s="14"/>
      <c r="N16" s="14"/>
    </row>
    <row r="17" spans="1:14" x14ac:dyDescent="0.2">
      <c r="A17" s="14"/>
      <c r="B17" s="143" t="s">
        <v>234</v>
      </c>
      <c r="C17" s="18">
        <f>'Diurno 44h'!$L$132</f>
        <v>7424.79</v>
      </c>
      <c r="D17" s="19">
        <v>1</v>
      </c>
      <c r="E17" s="106">
        <f t="shared" si="0"/>
        <v>7424.79</v>
      </c>
      <c r="F17" s="190">
        <v>6</v>
      </c>
      <c r="G17" s="110">
        <f t="shared" si="1"/>
        <v>44548.74</v>
      </c>
      <c r="H17" s="14"/>
      <c r="I17" s="14"/>
      <c r="J17" s="14"/>
      <c r="K17" s="14"/>
      <c r="L17" s="14"/>
      <c r="M17" s="14"/>
      <c r="N17" s="14"/>
    </row>
    <row r="18" spans="1:14" x14ac:dyDescent="0.2">
      <c r="A18" s="14"/>
      <c r="B18" s="143" t="s">
        <v>235</v>
      </c>
      <c r="C18" s="18">
        <f>'Encar Diurno'!$L$132</f>
        <v>8266.6299999999992</v>
      </c>
      <c r="D18" s="19">
        <v>2</v>
      </c>
      <c r="E18" s="106">
        <f t="shared" si="0"/>
        <v>16533.259999999998</v>
      </c>
      <c r="F18" s="190">
        <v>2</v>
      </c>
      <c r="G18" s="110">
        <f t="shared" si="1"/>
        <v>33066.519999999997</v>
      </c>
      <c r="H18" s="14"/>
      <c r="I18" s="14"/>
      <c r="J18" s="14"/>
      <c r="K18" s="14"/>
      <c r="L18" s="14"/>
      <c r="M18" s="14"/>
      <c r="N18" s="14"/>
    </row>
    <row r="19" spans="1:14" x14ac:dyDescent="0.2">
      <c r="A19" s="14"/>
      <c r="B19" s="143" t="s">
        <v>236</v>
      </c>
      <c r="C19" s="18">
        <f>'Encar Not'!$L$132</f>
        <v>9092.23</v>
      </c>
      <c r="D19" s="19">
        <v>2</v>
      </c>
      <c r="E19" s="106">
        <f t="shared" si="0"/>
        <v>18184.46</v>
      </c>
      <c r="F19" s="190">
        <v>2</v>
      </c>
      <c r="G19" s="110">
        <f t="shared" si="1"/>
        <v>36368.92</v>
      </c>
      <c r="H19" s="14"/>
      <c r="I19" s="14"/>
      <c r="J19" s="14"/>
      <c r="K19" s="14"/>
      <c r="L19" s="14"/>
      <c r="M19" s="14"/>
      <c r="N19" s="14"/>
    </row>
    <row r="20" spans="1:14" x14ac:dyDescent="0.2">
      <c r="A20" s="120"/>
      <c r="B20" s="332" t="s">
        <v>129</v>
      </c>
      <c r="C20" s="333"/>
      <c r="D20" s="333"/>
      <c r="E20" s="333"/>
      <c r="F20" s="193">
        <f>SUM(F13:F19)</f>
        <v>33</v>
      </c>
      <c r="G20" s="191">
        <f>SUM(G13:G19)</f>
        <v>453598.82</v>
      </c>
      <c r="H20" s="14"/>
      <c r="I20" s="14"/>
      <c r="J20" s="14"/>
      <c r="K20" s="14"/>
      <c r="L20" s="14"/>
      <c r="M20" s="14"/>
      <c r="N20" s="14"/>
    </row>
    <row r="21" spans="1:14" ht="13.5" thickBot="1" x14ac:dyDescent="0.25">
      <c r="A21" s="14"/>
      <c r="B21" s="346" t="s">
        <v>147</v>
      </c>
      <c r="C21" s="347"/>
      <c r="D21" s="347"/>
      <c r="E21" s="347"/>
      <c r="F21" s="348">
        <f>G20*12</f>
        <v>5443185.8399999999</v>
      </c>
      <c r="G21" s="349"/>
      <c r="H21" s="14"/>
      <c r="I21" s="14"/>
      <c r="J21" s="14"/>
      <c r="K21" s="14"/>
      <c r="L21" s="14"/>
      <c r="M21" s="14"/>
      <c r="N21" s="14"/>
    </row>
    <row r="22" spans="1:14" ht="13.5" thickBot="1" x14ac:dyDescent="0.25">
      <c r="A22" s="14"/>
      <c r="B22" s="24"/>
      <c r="C22" s="10"/>
      <c r="D22" s="10"/>
      <c r="E22" s="10"/>
      <c r="F22" s="25"/>
      <c r="G22" s="121"/>
      <c r="H22" s="14"/>
      <c r="I22" s="14"/>
      <c r="J22" s="14"/>
      <c r="K22" s="14"/>
      <c r="L22" s="14"/>
      <c r="M22" s="14"/>
      <c r="N22" s="14"/>
    </row>
    <row r="23" spans="1:14" ht="13.5" hidden="1" thickBot="1" x14ac:dyDescent="0.25">
      <c r="A23" s="14"/>
      <c r="B23" s="343" t="s">
        <v>69</v>
      </c>
      <c r="C23" s="344"/>
      <c r="D23" s="344"/>
      <c r="E23" s="344"/>
      <c r="F23" s="344"/>
      <c r="G23" s="345"/>
      <c r="H23" s="14"/>
      <c r="I23" s="14"/>
      <c r="J23" s="14"/>
      <c r="K23" s="14"/>
      <c r="L23" s="14"/>
      <c r="M23" s="14"/>
      <c r="N23" s="14"/>
    </row>
    <row r="24" spans="1:14" ht="51.75" hidden="1" thickBot="1" x14ac:dyDescent="0.25">
      <c r="A24" s="14"/>
      <c r="B24" s="26" t="s">
        <v>24</v>
      </c>
      <c r="C24" s="22" t="s">
        <v>61</v>
      </c>
      <c r="D24" s="22" t="s">
        <v>62</v>
      </c>
      <c r="E24" s="22" t="s">
        <v>63</v>
      </c>
      <c r="F24" s="22" t="s">
        <v>64</v>
      </c>
      <c r="G24" s="23" t="s">
        <v>65</v>
      </c>
      <c r="H24" s="14"/>
      <c r="I24" s="14"/>
      <c r="J24" s="14"/>
      <c r="K24" s="14"/>
      <c r="L24" s="14"/>
      <c r="M24" s="14"/>
      <c r="N24" s="14"/>
    </row>
    <row r="25" spans="1:14" hidden="1" x14ac:dyDescent="0.2">
      <c r="A25" s="120"/>
      <c r="B25" s="104" t="s">
        <v>230</v>
      </c>
      <c r="C25" s="17">
        <v>6656.38</v>
      </c>
      <c r="D25" s="105">
        <v>2</v>
      </c>
      <c r="E25" s="18">
        <f>C25*D25</f>
        <v>13312.76</v>
      </c>
      <c r="F25" s="107" t="e">
        <f>#REF!</f>
        <v>#REF!</v>
      </c>
      <c r="G25" s="125" t="e">
        <f t="shared" ref="G25:G31" si="2">E25*F25</f>
        <v>#REF!</v>
      </c>
      <c r="H25" s="14"/>
      <c r="I25" s="14"/>
      <c r="J25" s="14"/>
      <c r="K25" s="14"/>
      <c r="L25" s="14"/>
      <c r="M25" s="14"/>
      <c r="N25" s="14"/>
    </row>
    <row r="26" spans="1:14" hidden="1" x14ac:dyDescent="0.2">
      <c r="A26" s="120"/>
      <c r="B26" s="143" t="s">
        <v>231</v>
      </c>
      <c r="C26" s="103">
        <v>6685.79</v>
      </c>
      <c r="D26" s="19">
        <v>2</v>
      </c>
      <c r="E26" s="18">
        <f t="shared" ref="E26:E31" si="3">C26*D26</f>
        <v>13371.58</v>
      </c>
      <c r="F26" s="109">
        <v>8</v>
      </c>
      <c r="G26" s="125">
        <f t="shared" si="2"/>
        <v>106972.64</v>
      </c>
      <c r="H26" s="14"/>
      <c r="I26" s="14"/>
      <c r="J26" s="14"/>
      <c r="K26" s="14"/>
      <c r="L26" s="14"/>
      <c r="M26" s="14"/>
      <c r="N26" s="14"/>
    </row>
    <row r="27" spans="1:14" hidden="1" x14ac:dyDescent="0.2">
      <c r="A27" s="120"/>
      <c r="B27" s="143" t="s">
        <v>232</v>
      </c>
      <c r="C27" s="18">
        <v>7323.23</v>
      </c>
      <c r="D27" s="19">
        <v>2</v>
      </c>
      <c r="E27" s="18">
        <f t="shared" si="3"/>
        <v>14646.46</v>
      </c>
      <c r="F27" s="190">
        <v>2</v>
      </c>
      <c r="G27" s="125">
        <f t="shared" si="2"/>
        <v>29292.92</v>
      </c>
      <c r="H27" s="14"/>
      <c r="I27" s="14"/>
      <c r="J27" s="14"/>
      <c r="K27" s="14"/>
      <c r="L27" s="14"/>
      <c r="M27" s="14"/>
      <c r="N27" s="14"/>
    </row>
    <row r="28" spans="1:14" hidden="1" x14ac:dyDescent="0.2">
      <c r="A28" s="120"/>
      <c r="B28" s="127" t="s">
        <v>233</v>
      </c>
      <c r="C28" s="103">
        <v>7329.09</v>
      </c>
      <c r="D28" s="19">
        <v>2</v>
      </c>
      <c r="E28" s="18">
        <f t="shared" si="3"/>
        <v>14658.18</v>
      </c>
      <c r="F28" s="190">
        <v>8</v>
      </c>
      <c r="G28" s="125">
        <f t="shared" si="2"/>
        <v>117265.44</v>
      </c>
      <c r="H28" s="14"/>
      <c r="I28" s="14"/>
      <c r="J28" s="14"/>
      <c r="K28" s="14"/>
      <c r="L28" s="14"/>
      <c r="M28" s="14"/>
      <c r="N28" s="14"/>
    </row>
    <row r="29" spans="1:14" hidden="1" x14ac:dyDescent="0.2">
      <c r="A29" s="120"/>
      <c r="B29" s="143" t="s">
        <v>234</v>
      </c>
      <c r="C29" s="103">
        <v>7032.58</v>
      </c>
      <c r="D29" s="19">
        <v>1</v>
      </c>
      <c r="E29" s="18">
        <f t="shared" si="3"/>
        <v>7032.58</v>
      </c>
      <c r="F29" s="190">
        <v>6</v>
      </c>
      <c r="G29" s="125">
        <f t="shared" si="2"/>
        <v>42195.479999999996</v>
      </c>
      <c r="H29" s="14"/>
      <c r="I29" s="14"/>
      <c r="J29" s="14"/>
      <c r="K29" s="14"/>
      <c r="L29" s="14"/>
      <c r="M29" s="14"/>
      <c r="N29" s="14"/>
    </row>
    <row r="30" spans="1:14" hidden="1" x14ac:dyDescent="0.2">
      <c r="A30" s="120"/>
      <c r="B30" s="143" t="s">
        <v>235</v>
      </c>
      <c r="C30" s="103">
        <v>7823.71</v>
      </c>
      <c r="D30" s="19">
        <v>2</v>
      </c>
      <c r="E30" s="18">
        <f t="shared" si="3"/>
        <v>15647.42</v>
      </c>
      <c r="F30" s="190">
        <v>1</v>
      </c>
      <c r="G30" s="125">
        <f t="shared" si="2"/>
        <v>15647.42</v>
      </c>
      <c r="H30" s="14"/>
      <c r="I30" s="14"/>
      <c r="J30" s="14"/>
      <c r="K30" s="14"/>
      <c r="L30" s="14"/>
      <c r="M30" s="14"/>
      <c r="N30" s="14"/>
    </row>
    <row r="31" spans="1:14" hidden="1" x14ac:dyDescent="0.2">
      <c r="A31" s="120"/>
      <c r="B31" s="143" t="s">
        <v>236</v>
      </c>
      <c r="C31" s="103">
        <v>8603.7000000000007</v>
      </c>
      <c r="D31" s="19">
        <v>2</v>
      </c>
      <c r="E31" s="18">
        <f t="shared" si="3"/>
        <v>17207.400000000001</v>
      </c>
      <c r="F31" s="190">
        <v>1</v>
      </c>
      <c r="G31" s="125">
        <f t="shared" si="2"/>
        <v>17207.400000000001</v>
      </c>
      <c r="H31" s="14"/>
      <c r="I31" s="14"/>
      <c r="J31" s="14"/>
      <c r="K31" s="14"/>
      <c r="L31" s="14"/>
      <c r="M31" s="14"/>
      <c r="N31" s="14"/>
    </row>
    <row r="32" spans="1:14" hidden="1" x14ac:dyDescent="0.2">
      <c r="A32" s="120"/>
      <c r="B32" s="332" t="s">
        <v>129</v>
      </c>
      <c r="C32" s="333"/>
      <c r="D32" s="333"/>
      <c r="E32" s="333"/>
      <c r="F32" s="192" t="e">
        <f>SUM(F25:F31)</f>
        <v>#REF!</v>
      </c>
      <c r="G32" s="125" t="e">
        <f>SUM(G25:G31)</f>
        <v>#REF!</v>
      </c>
      <c r="H32" s="14"/>
      <c r="I32" s="14"/>
      <c r="J32" s="14"/>
      <c r="K32" s="14"/>
      <c r="L32" s="14"/>
      <c r="M32" s="14"/>
      <c r="N32" s="14"/>
    </row>
    <row r="33" spans="1:14" ht="13.5" hidden="1" thickBot="1" x14ac:dyDescent="0.25">
      <c r="A33" s="14"/>
      <c r="B33" s="346" t="s">
        <v>147</v>
      </c>
      <c r="C33" s="347"/>
      <c r="D33" s="347"/>
      <c r="E33" s="347"/>
      <c r="F33" s="353" t="e">
        <f>G32*12</f>
        <v>#REF!</v>
      </c>
      <c r="G33" s="354"/>
      <c r="H33" s="14"/>
      <c r="I33" s="14"/>
      <c r="J33" s="14"/>
      <c r="K33" s="14"/>
      <c r="L33" s="14"/>
      <c r="M33" s="14"/>
      <c r="N33" s="14"/>
    </row>
    <row r="34" spans="1:14" ht="13.5" hidden="1" thickBot="1" x14ac:dyDescent="0.25">
      <c r="A34" s="14"/>
      <c r="B34" s="24"/>
      <c r="C34" s="10"/>
      <c r="D34" s="10"/>
      <c r="E34" s="10"/>
      <c r="F34" s="25"/>
      <c r="G34" s="25"/>
      <c r="H34" s="14"/>
      <c r="I34" s="14"/>
      <c r="J34" s="14"/>
      <c r="K34" s="14"/>
      <c r="L34" s="14"/>
      <c r="M34" s="14"/>
      <c r="N34" s="14"/>
    </row>
    <row r="35" spans="1:14" ht="13.5" thickBot="1" x14ac:dyDescent="0.25">
      <c r="A35" s="14"/>
      <c r="B35" s="343" t="s">
        <v>69</v>
      </c>
      <c r="C35" s="344"/>
      <c r="D35" s="344"/>
      <c r="E35" s="344"/>
      <c r="F35" s="344"/>
      <c r="G35" s="345"/>
      <c r="I35" s="14"/>
      <c r="J35" s="14"/>
      <c r="K35" s="14"/>
      <c r="L35" s="14"/>
      <c r="M35" s="14"/>
      <c r="N35" s="14"/>
    </row>
    <row r="36" spans="1:14" ht="26.25" thickBot="1" x14ac:dyDescent="0.25">
      <c r="A36" s="14"/>
      <c r="B36" s="26" t="s">
        <v>24</v>
      </c>
      <c r="C36" s="22" t="s">
        <v>61</v>
      </c>
      <c r="D36" s="22" t="s">
        <v>239</v>
      </c>
      <c r="E36" s="22" t="s">
        <v>63</v>
      </c>
      <c r="F36" s="22" t="s">
        <v>238</v>
      </c>
      <c r="G36" s="23" t="s">
        <v>65</v>
      </c>
      <c r="I36" s="14"/>
      <c r="J36" s="14"/>
      <c r="K36" s="14"/>
      <c r="L36" s="14"/>
      <c r="M36" s="14"/>
      <c r="N36" s="14"/>
    </row>
    <row r="37" spans="1:14" x14ac:dyDescent="0.2">
      <c r="A37" s="120"/>
      <c r="B37" s="104" t="s">
        <v>230</v>
      </c>
      <c r="C37" s="18">
        <v>7369.96</v>
      </c>
      <c r="D37" s="105">
        <v>2</v>
      </c>
      <c r="E37" s="18">
        <f>C37*D37</f>
        <v>14739.92</v>
      </c>
      <c r="F37" s="107">
        <v>3</v>
      </c>
      <c r="G37" s="125">
        <f>E37*F37</f>
        <v>44219.76</v>
      </c>
      <c r="I37" s="14"/>
      <c r="J37" s="14"/>
      <c r="K37" s="14"/>
      <c r="L37" s="14"/>
      <c r="M37" s="14"/>
      <c r="N37" s="14"/>
    </row>
    <row r="38" spans="1:14" x14ac:dyDescent="0.2">
      <c r="A38" s="120"/>
      <c r="B38" s="143" t="s">
        <v>231</v>
      </c>
      <c r="C38" s="18">
        <v>7401.89</v>
      </c>
      <c r="D38" s="19">
        <v>2</v>
      </c>
      <c r="E38" s="18">
        <f t="shared" ref="E38:E43" si="4">C38*D38</f>
        <v>14803.78</v>
      </c>
      <c r="F38" s="109">
        <v>9</v>
      </c>
      <c r="G38" s="125">
        <f t="shared" ref="G38:G43" si="5">E38*F38</f>
        <v>133234.02000000002</v>
      </c>
      <c r="H38" s="274">
        <f>G38/G14</f>
        <v>1.0481620781162826</v>
      </c>
      <c r="I38" s="14"/>
      <c r="J38" s="14"/>
      <c r="K38" s="14"/>
      <c r="L38" s="14"/>
      <c r="M38" s="14"/>
      <c r="N38" s="14"/>
    </row>
    <row r="39" spans="1:14" x14ac:dyDescent="0.2">
      <c r="A39" s="120"/>
      <c r="B39" s="143" t="s">
        <v>232</v>
      </c>
      <c r="C39" s="18">
        <v>8111.01</v>
      </c>
      <c r="D39" s="19">
        <v>2</v>
      </c>
      <c r="E39" s="18">
        <f t="shared" si="4"/>
        <v>16222.02</v>
      </c>
      <c r="F39" s="190">
        <v>2</v>
      </c>
      <c r="G39" s="125">
        <f t="shared" si="5"/>
        <v>32444.04</v>
      </c>
      <c r="I39" s="14"/>
      <c r="J39" s="14"/>
      <c r="K39" s="14"/>
      <c r="L39" s="14"/>
      <c r="M39" s="14"/>
      <c r="N39" s="14"/>
    </row>
    <row r="40" spans="1:14" x14ac:dyDescent="0.2">
      <c r="A40" s="120"/>
      <c r="B40" s="127" t="s">
        <v>233</v>
      </c>
      <c r="C40" s="18">
        <v>8116.88</v>
      </c>
      <c r="D40" s="19">
        <v>2</v>
      </c>
      <c r="E40" s="18">
        <f t="shared" si="4"/>
        <v>16233.76</v>
      </c>
      <c r="F40" s="190">
        <v>9</v>
      </c>
      <c r="G40" s="125">
        <f t="shared" si="5"/>
        <v>146103.84</v>
      </c>
      <c r="H40" s="274">
        <f>G40/G16</f>
        <v>1.0483241031575468</v>
      </c>
      <c r="I40" s="196"/>
      <c r="J40" s="14"/>
      <c r="K40" s="14"/>
      <c r="L40" s="14"/>
      <c r="M40" s="14"/>
      <c r="N40" s="14"/>
    </row>
    <row r="41" spans="1:14" x14ac:dyDescent="0.2">
      <c r="A41" s="120"/>
      <c r="B41" s="143" t="s">
        <v>234</v>
      </c>
      <c r="C41" s="18">
        <v>7779.58</v>
      </c>
      <c r="D41" s="19">
        <v>1</v>
      </c>
      <c r="E41" s="18">
        <f t="shared" si="4"/>
        <v>7779.58</v>
      </c>
      <c r="F41" s="190">
        <v>6</v>
      </c>
      <c r="G41" s="125">
        <f t="shared" si="5"/>
        <v>46677.479999999996</v>
      </c>
      <c r="I41" s="196"/>
      <c r="J41" s="14"/>
      <c r="K41" s="14"/>
      <c r="L41" s="14"/>
      <c r="M41" s="14"/>
      <c r="N41" s="14"/>
    </row>
    <row r="42" spans="1:14" x14ac:dyDescent="0.2">
      <c r="A42" s="120"/>
      <c r="B42" s="143" t="s">
        <v>235</v>
      </c>
      <c r="C42" s="18">
        <v>8701.61</v>
      </c>
      <c r="D42" s="19">
        <v>2</v>
      </c>
      <c r="E42" s="18">
        <f t="shared" si="4"/>
        <v>17403.22</v>
      </c>
      <c r="F42" s="278">
        <v>2</v>
      </c>
      <c r="G42" s="125">
        <f t="shared" si="5"/>
        <v>34806.44</v>
      </c>
      <c r="I42" s="196"/>
      <c r="J42" s="14"/>
      <c r="K42" s="14"/>
      <c r="L42" s="14"/>
      <c r="M42" s="14"/>
      <c r="N42" s="14"/>
    </row>
    <row r="43" spans="1:14" x14ac:dyDescent="0.2">
      <c r="A43" s="120"/>
      <c r="B43" s="143" t="s">
        <v>236</v>
      </c>
      <c r="C43" s="18">
        <v>9568.5300000000007</v>
      </c>
      <c r="D43" s="19">
        <v>2</v>
      </c>
      <c r="E43" s="18">
        <f t="shared" si="4"/>
        <v>19137.060000000001</v>
      </c>
      <c r="F43" s="278">
        <v>2</v>
      </c>
      <c r="G43" s="125">
        <f t="shared" si="5"/>
        <v>38274.120000000003</v>
      </c>
      <c r="I43" s="14"/>
      <c r="J43" s="14"/>
      <c r="K43" s="14"/>
      <c r="L43" s="14"/>
      <c r="M43" s="14"/>
      <c r="N43" s="14"/>
    </row>
    <row r="44" spans="1:14" x14ac:dyDescent="0.2">
      <c r="A44" s="120"/>
      <c r="B44" s="332" t="s">
        <v>129</v>
      </c>
      <c r="C44" s="333"/>
      <c r="D44" s="333"/>
      <c r="E44" s="333"/>
      <c r="F44" s="192">
        <f>SUM(F37:F43)</f>
        <v>33</v>
      </c>
      <c r="G44" s="125">
        <f>SUM(G37:G43)</f>
        <v>475759.7</v>
      </c>
      <c r="H44" s="275"/>
      <c r="I44" s="14"/>
      <c r="J44" s="14"/>
      <c r="K44" s="14"/>
      <c r="L44" s="14"/>
      <c r="M44" s="14"/>
      <c r="N44" s="14"/>
    </row>
    <row r="45" spans="1:14" ht="13.5" thickBot="1" x14ac:dyDescent="0.25">
      <c r="A45" s="120"/>
      <c r="B45" s="326" t="s">
        <v>237</v>
      </c>
      <c r="C45" s="327"/>
      <c r="D45" s="327"/>
      <c r="E45" s="327"/>
      <c r="F45" s="328">
        <f>G44*12</f>
        <v>5709116.4000000004</v>
      </c>
      <c r="G45" s="329"/>
      <c r="H45" s="131"/>
      <c r="I45" s="14"/>
      <c r="J45" s="14"/>
      <c r="K45" s="14"/>
      <c r="L45" s="14"/>
      <c r="M45" s="14"/>
      <c r="N45" s="14"/>
    </row>
    <row r="46" spans="1:14" x14ac:dyDescent="0.2">
      <c r="A46" s="14"/>
      <c r="B46" s="24"/>
      <c r="C46" s="271"/>
      <c r="D46" s="271"/>
      <c r="E46" s="271"/>
      <c r="F46" s="25"/>
      <c r="G46" s="25"/>
      <c r="I46" s="14"/>
      <c r="J46" s="14"/>
      <c r="K46" s="14"/>
      <c r="L46" s="14"/>
      <c r="M46" s="14"/>
      <c r="N46" s="14"/>
    </row>
    <row r="47" spans="1:14" ht="13.5" thickBot="1" x14ac:dyDescent="0.25">
      <c r="A47" s="14"/>
      <c r="B47" s="16"/>
      <c r="C47" s="14"/>
      <c r="D47" s="14"/>
      <c r="E47" s="14"/>
      <c r="F47" s="14"/>
      <c r="G47" s="194"/>
      <c r="I47" s="14"/>
      <c r="J47" s="14"/>
      <c r="K47" s="14"/>
      <c r="L47" s="14"/>
      <c r="M47" s="14"/>
      <c r="N47" s="14"/>
    </row>
    <row r="48" spans="1:14" ht="13.5" thickBot="1" x14ac:dyDescent="0.25">
      <c r="A48" s="14"/>
      <c r="B48" s="343" t="s">
        <v>295</v>
      </c>
      <c r="C48" s="344"/>
      <c r="D48" s="344"/>
      <c r="E48" s="344"/>
      <c r="F48" s="344"/>
      <c r="G48" s="345"/>
      <c r="I48" s="14"/>
      <c r="J48" s="14"/>
      <c r="K48" s="14"/>
      <c r="L48" s="14"/>
      <c r="M48" s="14"/>
      <c r="N48" s="14"/>
    </row>
    <row r="49" spans="1:14" ht="26.25" thickBot="1" x14ac:dyDescent="0.25">
      <c r="A49" s="14"/>
      <c r="B49" s="26" t="s">
        <v>24</v>
      </c>
      <c r="C49" s="22" t="s">
        <v>61</v>
      </c>
      <c r="D49" s="22" t="s">
        <v>239</v>
      </c>
      <c r="E49" s="22" t="s">
        <v>63</v>
      </c>
      <c r="F49" s="22" t="s">
        <v>238</v>
      </c>
      <c r="G49" s="23" t="s">
        <v>65</v>
      </c>
      <c r="I49" s="14"/>
      <c r="J49" s="14"/>
      <c r="K49" s="14"/>
      <c r="L49" s="14"/>
      <c r="M49" s="14"/>
      <c r="N49" s="14"/>
    </row>
    <row r="50" spans="1:14" x14ac:dyDescent="0.2">
      <c r="A50" s="14"/>
      <c r="B50" s="104" t="s">
        <v>230</v>
      </c>
      <c r="C50" s="18">
        <f>'Diurno Des'!$N$132</f>
        <v>7369.95</v>
      </c>
      <c r="D50" s="105">
        <v>2</v>
      </c>
      <c r="E50" s="18">
        <f>C50*D50</f>
        <v>14739.9</v>
      </c>
      <c r="F50" s="107">
        <v>3</v>
      </c>
      <c r="G50" s="125">
        <f>E50*F50</f>
        <v>44219.7</v>
      </c>
      <c r="I50" s="194">
        <f>E51+E53</f>
        <v>31037.54</v>
      </c>
      <c r="J50" s="14"/>
      <c r="K50" s="14"/>
      <c r="L50" s="14"/>
      <c r="M50" s="14"/>
      <c r="N50" s="14"/>
    </row>
    <row r="51" spans="1:14" x14ac:dyDescent="0.2">
      <c r="A51" s="14"/>
      <c r="B51" s="143" t="s">
        <v>231</v>
      </c>
      <c r="C51" s="18">
        <f>'Diurno Arm'!$N$132</f>
        <v>7401.89</v>
      </c>
      <c r="D51" s="19">
        <v>2</v>
      </c>
      <c r="E51" s="18">
        <f t="shared" ref="E51:E56" si="6">C51*D51</f>
        <v>14803.78</v>
      </c>
      <c r="F51" s="109">
        <v>9</v>
      </c>
      <c r="G51" s="125">
        <f t="shared" ref="G51:G56" si="7">E51*F51</f>
        <v>133234.02000000002</v>
      </c>
      <c r="I51" s="14"/>
      <c r="J51" s="14"/>
      <c r="K51" s="14"/>
      <c r="L51" s="14"/>
      <c r="M51" s="14"/>
      <c r="N51" s="14"/>
    </row>
    <row r="52" spans="1:14" x14ac:dyDescent="0.2">
      <c r="A52" s="14"/>
      <c r="B52" s="143" t="s">
        <v>232</v>
      </c>
      <c r="C52" s="18">
        <f>'Not Des'!$N$132</f>
        <v>8111</v>
      </c>
      <c r="D52" s="19">
        <v>2</v>
      </c>
      <c r="E52" s="18">
        <f t="shared" si="6"/>
        <v>16222</v>
      </c>
      <c r="F52" s="190">
        <v>2</v>
      </c>
      <c r="G52" s="125">
        <f t="shared" si="7"/>
        <v>32444</v>
      </c>
      <c r="I52" s="14"/>
      <c r="J52" s="14"/>
      <c r="K52" s="14"/>
      <c r="L52" s="14"/>
      <c r="M52" s="14"/>
      <c r="N52" s="14"/>
    </row>
    <row r="53" spans="1:14" x14ac:dyDescent="0.2">
      <c r="A53" s="14"/>
      <c r="B53" s="127" t="s">
        <v>233</v>
      </c>
      <c r="C53" s="18">
        <f>'Not Arm'!$N$132</f>
        <v>8116.88</v>
      </c>
      <c r="D53" s="19">
        <v>2</v>
      </c>
      <c r="E53" s="18">
        <f t="shared" si="6"/>
        <v>16233.76</v>
      </c>
      <c r="F53" s="190">
        <v>9</v>
      </c>
      <c r="G53" s="125">
        <f t="shared" si="7"/>
        <v>146103.84</v>
      </c>
      <c r="I53" s="14"/>
      <c r="J53" s="14"/>
      <c r="K53" s="14"/>
      <c r="L53" s="14"/>
      <c r="M53" s="14"/>
      <c r="N53" s="14"/>
    </row>
    <row r="54" spans="1:14" x14ac:dyDescent="0.2">
      <c r="A54" s="14"/>
      <c r="B54" s="143" t="s">
        <v>234</v>
      </c>
      <c r="C54" s="18">
        <f>'Diurno 44h'!$N$132</f>
        <v>7779.56</v>
      </c>
      <c r="D54" s="19">
        <v>1</v>
      </c>
      <c r="E54" s="18">
        <f t="shared" si="6"/>
        <v>7779.56</v>
      </c>
      <c r="F54" s="190">
        <v>6</v>
      </c>
      <c r="G54" s="125">
        <f t="shared" si="7"/>
        <v>46677.36</v>
      </c>
      <c r="I54">
        <f>G64/G65</f>
        <v>1.0760604485754242</v>
      </c>
      <c r="J54" s="194">
        <f>G64-G65</f>
        <v>28029.760000000009</v>
      </c>
      <c r="K54" s="194">
        <f>J54*12</f>
        <v>336357.12000000011</v>
      </c>
      <c r="L54" s="14"/>
      <c r="M54" s="14"/>
      <c r="N54" s="14"/>
    </row>
    <row r="55" spans="1:14" x14ac:dyDescent="0.2">
      <c r="A55" s="14"/>
      <c r="B55" s="143" t="s">
        <v>235</v>
      </c>
      <c r="C55" s="18">
        <f>'Encar Diurno'!$N$132</f>
        <v>8701.6299999999992</v>
      </c>
      <c r="D55" s="19">
        <v>2</v>
      </c>
      <c r="E55" s="18">
        <f t="shared" si="6"/>
        <v>17403.259999999998</v>
      </c>
      <c r="F55" s="278">
        <v>2</v>
      </c>
      <c r="G55" s="279">
        <f t="shared" si="7"/>
        <v>34806.519999999997</v>
      </c>
      <c r="H55" s="273">
        <f>G55/G18</f>
        <v>1.0526212011424245</v>
      </c>
      <c r="I55" s="14"/>
      <c r="J55" s="14"/>
      <c r="K55" s="14"/>
      <c r="L55" s="14"/>
      <c r="M55" s="14"/>
      <c r="N55" s="14"/>
    </row>
    <row r="56" spans="1:14" x14ac:dyDescent="0.2">
      <c r="A56" s="14"/>
      <c r="B56" s="143" t="s">
        <v>236</v>
      </c>
      <c r="C56" s="18">
        <f>'Encar Not'!$N$132</f>
        <v>9568.5300000000007</v>
      </c>
      <c r="D56" s="19">
        <v>2</v>
      </c>
      <c r="E56" s="18">
        <f t="shared" si="6"/>
        <v>19137.060000000001</v>
      </c>
      <c r="F56" s="278">
        <v>2</v>
      </c>
      <c r="G56" s="279">
        <f t="shared" si="7"/>
        <v>38274.120000000003</v>
      </c>
      <c r="H56" s="273">
        <f>G56/G19</f>
        <v>1.0523853884030652</v>
      </c>
      <c r="I56" s="14"/>
      <c r="J56" s="14"/>
      <c r="K56" s="14"/>
      <c r="L56" s="14"/>
      <c r="M56" s="14"/>
      <c r="N56" s="14"/>
    </row>
    <row r="57" spans="1:14" x14ac:dyDescent="0.2">
      <c r="A57" s="14"/>
      <c r="B57" s="332" t="s">
        <v>129</v>
      </c>
      <c r="C57" s="333"/>
      <c r="D57" s="333"/>
      <c r="E57" s="333"/>
      <c r="F57" s="280">
        <f>SUM(F50:F56)</f>
        <v>33</v>
      </c>
      <c r="G57" s="279">
        <f>SUM(G50:G56)</f>
        <v>475759.56000000006</v>
      </c>
      <c r="H57" s="264">
        <f>G57/G65</f>
        <v>1.2910023327936606</v>
      </c>
      <c r="I57" s="270">
        <f>H57-I54</f>
        <v>0.21494188421823646</v>
      </c>
      <c r="J57" s="194">
        <f>G57-G64</f>
        <v>79210.280000000028</v>
      </c>
      <c r="K57" s="194">
        <f>J57*12</f>
        <v>950523.36000000034</v>
      </c>
      <c r="L57" s="14"/>
      <c r="M57" s="14"/>
      <c r="N57" s="14"/>
    </row>
    <row r="58" spans="1:14" ht="13.5" thickBot="1" x14ac:dyDescent="0.25">
      <c r="A58" s="14"/>
      <c r="B58" s="326" t="s">
        <v>237</v>
      </c>
      <c r="C58" s="327"/>
      <c r="D58" s="327"/>
      <c r="E58" s="327"/>
      <c r="F58" s="355">
        <f>G57*12</f>
        <v>5709114.7200000007</v>
      </c>
      <c r="G58" s="356"/>
      <c r="H58" s="276">
        <f>F58-F45</f>
        <v>-1.6799999997019768</v>
      </c>
      <c r="I58" s="14"/>
      <c r="J58" s="14"/>
      <c r="K58" s="14"/>
      <c r="L58" s="14"/>
      <c r="M58" s="14"/>
      <c r="N58" s="14"/>
    </row>
    <row r="59" spans="1:14" x14ac:dyDescent="0.2">
      <c r="A59" s="14"/>
      <c r="B59" s="24"/>
      <c r="C59" s="271"/>
      <c r="D59" s="271"/>
      <c r="E59" s="271"/>
      <c r="F59" s="25"/>
      <c r="G59" s="25"/>
      <c r="H59" s="276"/>
      <c r="I59" s="14"/>
      <c r="J59" s="14"/>
      <c r="K59" s="14"/>
      <c r="L59" s="14"/>
      <c r="M59" s="14"/>
      <c r="N59" s="14"/>
    </row>
    <row r="60" spans="1:14" x14ac:dyDescent="0.2">
      <c r="A60" s="14"/>
      <c r="B60" s="16"/>
      <c r="C60" s="14"/>
      <c r="D60" s="14"/>
      <c r="E60" s="14"/>
      <c r="F60" s="14"/>
      <c r="G60" s="194">
        <f>F58/20</f>
        <v>285455.73600000003</v>
      </c>
      <c r="H60" s="131">
        <f>F58-F21</f>
        <v>265928.88000000082</v>
      </c>
      <c r="I60" s="194">
        <f>H60-K54</f>
        <v>-70428.239999999292</v>
      </c>
      <c r="J60" s="14"/>
      <c r="K60" s="14"/>
      <c r="L60" s="14"/>
      <c r="M60" s="14"/>
      <c r="N60" s="14"/>
    </row>
    <row r="61" spans="1:14" x14ac:dyDescent="0.2">
      <c r="A61" s="14"/>
      <c r="B61" s="16"/>
      <c r="C61" s="291">
        <v>8377115.4400000004</v>
      </c>
      <c r="D61" s="14" t="s">
        <v>262</v>
      </c>
      <c r="E61" s="14"/>
      <c r="F61" s="14"/>
      <c r="G61" s="268">
        <f>F58/F21</f>
        <v>1.0488553740064845</v>
      </c>
      <c r="H61" s="269">
        <f>H57+H44</f>
        <v>1.2910023327936606</v>
      </c>
      <c r="I61" s="270">
        <v>2.196698</v>
      </c>
      <c r="J61" s="14"/>
      <c r="K61" s="14"/>
      <c r="L61" s="14"/>
      <c r="M61" s="14"/>
      <c r="N61" s="14"/>
    </row>
    <row r="62" spans="1:14" x14ac:dyDescent="0.2">
      <c r="A62" s="14"/>
      <c r="B62" s="16"/>
      <c r="C62" s="291">
        <v>9247466.1999999993</v>
      </c>
      <c r="D62" s="14" t="s">
        <v>263</v>
      </c>
      <c r="E62" s="14"/>
      <c r="F62" s="14"/>
      <c r="G62" s="194"/>
      <c r="H62" s="269"/>
      <c r="I62" s="14"/>
      <c r="J62" s="14"/>
      <c r="K62" s="14"/>
      <c r="L62" s="14"/>
      <c r="M62" s="14"/>
      <c r="N62" s="14"/>
    </row>
    <row r="63" spans="1:14" x14ac:dyDescent="0.2">
      <c r="A63" s="14"/>
      <c r="B63" s="16"/>
      <c r="C63" s="14">
        <f>C62/C61</f>
        <v>1.1038962356713087</v>
      </c>
      <c r="D63" s="14"/>
      <c r="E63" s="14"/>
      <c r="F63" s="14"/>
      <c r="G63" s="268">
        <f>G57/G64</f>
        <v>1.1997488937566601</v>
      </c>
      <c r="H63" s="277"/>
      <c r="I63" s="14"/>
      <c r="J63" s="14"/>
      <c r="K63" s="14"/>
      <c r="L63" s="14"/>
      <c r="M63" s="14"/>
      <c r="N63" s="14"/>
    </row>
    <row r="64" spans="1:14" x14ac:dyDescent="0.2">
      <c r="A64" s="14"/>
      <c r="B64" s="16"/>
      <c r="C64" s="14"/>
      <c r="D64" s="14"/>
      <c r="E64" s="14"/>
      <c r="F64" s="194"/>
      <c r="G64" s="194">
        <v>396549.28</v>
      </c>
      <c r="H64" t="s">
        <v>261</v>
      </c>
      <c r="I64" s="14"/>
      <c r="J64" s="14">
        <f>16.52-7.6</f>
        <v>8.92</v>
      </c>
      <c r="K64" s="14"/>
      <c r="L64" s="14"/>
      <c r="M64" s="14"/>
      <c r="N64" s="14"/>
    </row>
    <row r="65" spans="1:14" x14ac:dyDescent="0.2">
      <c r="A65" s="14"/>
      <c r="B65" s="16"/>
      <c r="C65" s="291">
        <v>18023675.32</v>
      </c>
      <c r="D65" s="14" t="s">
        <v>262</v>
      </c>
      <c r="E65" s="14"/>
      <c r="F65" s="194"/>
      <c r="G65" s="194">
        <v>368519.52</v>
      </c>
      <c r="H65" t="s">
        <v>260</v>
      </c>
      <c r="I65" s="14"/>
      <c r="J65" s="14"/>
      <c r="K65" s="14"/>
      <c r="L65" s="14"/>
      <c r="M65" s="14"/>
      <c r="N65" s="14"/>
    </row>
    <row r="66" spans="1:14" x14ac:dyDescent="0.2">
      <c r="A66" s="14"/>
      <c r="B66" s="16"/>
      <c r="C66" s="291">
        <v>21305664.800000001</v>
      </c>
      <c r="D66" s="14" t="s">
        <v>263</v>
      </c>
      <c r="E66" s="14"/>
      <c r="F66" s="14"/>
      <c r="G66" s="194"/>
      <c r="I66" s="14"/>
      <c r="J66" s="14"/>
      <c r="K66" s="14"/>
      <c r="L66" s="14"/>
      <c r="M66" s="14"/>
      <c r="N66" s="14"/>
    </row>
    <row r="67" spans="1:14" x14ac:dyDescent="0.2">
      <c r="A67" s="14"/>
      <c r="B67" s="16"/>
      <c r="C67" s="14">
        <f>C66/C65</f>
        <v>1.1820932424563892</v>
      </c>
      <c r="D67" s="14"/>
      <c r="E67" s="14"/>
      <c r="F67" s="14"/>
      <c r="G67" s="194"/>
      <c r="I67" s="14"/>
      <c r="J67" s="14"/>
      <c r="K67" s="14"/>
      <c r="L67" s="14"/>
      <c r="M67" s="14"/>
      <c r="N67" s="14"/>
    </row>
    <row r="68" spans="1:14" x14ac:dyDescent="0.2">
      <c r="A68" s="14"/>
      <c r="B68" s="16"/>
      <c r="C68" s="14"/>
      <c r="D68" s="14"/>
      <c r="E68" s="14"/>
      <c r="F68" s="14"/>
      <c r="G68" s="194"/>
      <c r="I68" s="14"/>
      <c r="J68" s="14"/>
      <c r="K68" s="14"/>
      <c r="L68" s="14"/>
      <c r="M68" s="14"/>
      <c r="N68" s="14"/>
    </row>
    <row r="69" spans="1:14" ht="30" customHeight="1" x14ac:dyDescent="0.2">
      <c r="A69" s="14"/>
      <c r="B69" s="288" t="s">
        <v>264</v>
      </c>
      <c r="C69" s="117" t="s">
        <v>265</v>
      </c>
      <c r="D69" s="117" t="s">
        <v>13</v>
      </c>
      <c r="E69" s="118" t="s">
        <v>269</v>
      </c>
      <c r="F69" s="14"/>
      <c r="G69" s="268">
        <f>G57/G65</f>
        <v>1.2910023327936606</v>
      </c>
      <c r="H69" s="272">
        <f>G69-I54</f>
        <v>0.21494188421823646</v>
      </c>
      <c r="I69" s="14"/>
      <c r="J69" s="14"/>
      <c r="K69" s="14"/>
      <c r="L69" s="14"/>
      <c r="M69" s="14"/>
      <c r="N69" s="14"/>
    </row>
    <row r="70" spans="1:14" x14ac:dyDescent="0.2">
      <c r="A70" s="14"/>
      <c r="B70" s="325">
        <f>F21</f>
        <v>5443185.8399999999</v>
      </c>
      <c r="C70" s="282" t="s">
        <v>266</v>
      </c>
      <c r="D70" s="283">
        <v>7.5999999999999998E-2</v>
      </c>
      <c r="E70" s="284">
        <f>F45</f>
        <v>5709116.4000000004</v>
      </c>
      <c r="F70" s="281">
        <f>E70/B70</f>
        <v>1.0488556826492628</v>
      </c>
      <c r="G70" s="194"/>
      <c r="I70" s="14"/>
      <c r="J70" s="14"/>
      <c r="K70" s="14"/>
      <c r="L70" s="14"/>
      <c r="M70" s="14"/>
      <c r="N70" s="14"/>
    </row>
    <row r="71" spans="1:14" ht="25.5" x14ac:dyDescent="0.2">
      <c r="A71" s="14"/>
      <c r="B71" s="325"/>
      <c r="C71" s="285" t="s">
        <v>267</v>
      </c>
      <c r="D71" s="283">
        <v>8.9200000000000002E-2</v>
      </c>
      <c r="E71" s="284">
        <f>F58</f>
        <v>5709114.7200000007</v>
      </c>
      <c r="F71" s="281">
        <f>F72-F70</f>
        <v>-3.0864277822395536E-7</v>
      </c>
      <c r="G71" s="194"/>
      <c r="I71" s="14"/>
      <c r="J71" s="14"/>
      <c r="K71" s="14"/>
      <c r="L71" s="14"/>
      <c r="M71" s="14"/>
      <c r="N71" s="14"/>
    </row>
    <row r="72" spans="1:14" x14ac:dyDescent="0.2">
      <c r="A72" s="14"/>
      <c r="B72" s="286"/>
      <c r="C72" s="289" t="s">
        <v>268</v>
      </c>
      <c r="D72" s="290">
        <f>D70+D71</f>
        <v>0.16520000000000001</v>
      </c>
      <c r="E72" s="287"/>
      <c r="F72" s="281">
        <f>E71/B70</f>
        <v>1.0488553740064845</v>
      </c>
      <c r="G72" s="194">
        <f>G65*1.25</f>
        <v>460649.4</v>
      </c>
      <c r="I72" s="14"/>
      <c r="J72" s="14"/>
      <c r="K72" s="14"/>
      <c r="L72" s="14"/>
      <c r="M72" s="14"/>
      <c r="N72" s="14"/>
    </row>
    <row r="73" spans="1:14" x14ac:dyDescent="0.2">
      <c r="A73" s="14"/>
      <c r="B73" s="16"/>
      <c r="C73" s="14"/>
      <c r="D73" s="14"/>
      <c r="E73" s="14"/>
      <c r="F73" s="14"/>
      <c r="G73" s="194"/>
      <c r="I73" s="14"/>
      <c r="J73" s="14"/>
      <c r="K73" s="14"/>
      <c r="L73" s="14"/>
      <c r="M73" s="14"/>
      <c r="N73" s="14"/>
    </row>
    <row r="74" spans="1:14" x14ac:dyDescent="0.2">
      <c r="A74" s="14"/>
      <c r="B74" s="16"/>
      <c r="C74" s="14"/>
      <c r="D74" s="14"/>
      <c r="E74" s="14"/>
      <c r="F74" s="14"/>
      <c r="G74" s="194"/>
      <c r="I74" s="14">
        <f>302804.2+94030.15</f>
        <v>396834.35</v>
      </c>
      <c r="J74" s="14"/>
      <c r="K74" s="14"/>
      <c r="L74" s="14"/>
      <c r="M74" s="14"/>
      <c r="N74" s="14"/>
    </row>
    <row r="75" spans="1:14" x14ac:dyDescent="0.2">
      <c r="A75" s="14"/>
      <c r="B75" s="16"/>
      <c r="C75" s="14"/>
      <c r="D75" s="14"/>
      <c r="E75" s="14"/>
      <c r="F75" s="14"/>
      <c r="G75" s="194"/>
      <c r="I75" s="14">
        <f>301454.13+94030.15</f>
        <v>395484.28</v>
      </c>
      <c r="J75" s="14"/>
      <c r="K75" s="14"/>
      <c r="L75" s="14"/>
      <c r="M75" s="14"/>
      <c r="N75" s="14"/>
    </row>
    <row r="76" spans="1:14" x14ac:dyDescent="0.2">
      <c r="A76" s="14"/>
      <c r="B76" s="16" t="s">
        <v>258</v>
      </c>
      <c r="C76" s="14"/>
      <c r="D76" s="14"/>
      <c r="E76" s="14"/>
      <c r="F76" s="14"/>
      <c r="G76" s="194">
        <f>F58/20</f>
        <v>285455.73600000003</v>
      </c>
      <c r="I76" s="14"/>
      <c r="J76" s="14"/>
      <c r="K76" s="14"/>
      <c r="L76" s="14"/>
      <c r="M76" s="14"/>
      <c r="N76" s="14"/>
    </row>
    <row r="77" spans="1:14" x14ac:dyDescent="0.2">
      <c r="A77" s="14"/>
      <c r="B77" s="16" t="s">
        <v>259</v>
      </c>
      <c r="C77" s="14"/>
      <c r="D77" s="14"/>
      <c r="E77" s="14"/>
      <c r="F77" s="14"/>
      <c r="G77" s="14"/>
      <c r="I77" s="14"/>
      <c r="J77" s="14"/>
      <c r="K77" s="14"/>
      <c r="L77" s="14"/>
      <c r="M77" s="14"/>
      <c r="N77" s="14"/>
    </row>
    <row r="78" spans="1:14" x14ac:dyDescent="0.2">
      <c r="A78" s="14"/>
      <c r="B78" s="16"/>
      <c r="C78" s="14"/>
      <c r="D78" s="14"/>
      <c r="E78" s="14"/>
      <c r="F78" s="14"/>
      <c r="G78" s="14"/>
      <c r="I78" s="14"/>
      <c r="J78" s="14"/>
      <c r="K78" s="14"/>
      <c r="L78" s="14"/>
      <c r="M78" s="14"/>
      <c r="N78" s="14"/>
    </row>
    <row r="79" spans="1:14" ht="15.75" x14ac:dyDescent="0.25">
      <c r="A79" s="14"/>
      <c r="B79" s="330" t="s">
        <v>286</v>
      </c>
      <c r="C79" s="330"/>
      <c r="D79" s="330"/>
      <c r="E79" s="330"/>
      <c r="F79" s="330"/>
      <c r="G79" s="330"/>
      <c r="H79" s="330"/>
      <c r="I79" s="331"/>
      <c r="J79" s="42" t="s">
        <v>288</v>
      </c>
      <c r="K79" s="14"/>
      <c r="L79" s="14"/>
      <c r="M79" s="14"/>
      <c r="N79" s="14"/>
    </row>
    <row r="80" spans="1:14" ht="38.25" x14ac:dyDescent="0.2">
      <c r="B80" s="117" t="s">
        <v>131</v>
      </c>
      <c r="C80" s="118" t="s">
        <v>132</v>
      </c>
      <c r="D80" s="118" t="s">
        <v>133</v>
      </c>
      <c r="E80" s="118" t="s">
        <v>134</v>
      </c>
      <c r="F80" s="118" t="s">
        <v>240</v>
      </c>
      <c r="G80" s="117" t="s">
        <v>136</v>
      </c>
      <c r="H80" s="118" t="s">
        <v>137</v>
      </c>
      <c r="I80" s="118" t="s">
        <v>157</v>
      </c>
    </row>
    <row r="81" spans="2:17" ht="12.75" customHeight="1" x14ac:dyDescent="0.2">
      <c r="B81" s="319" t="s">
        <v>148</v>
      </c>
      <c r="C81" s="359" t="s">
        <v>253</v>
      </c>
      <c r="D81" s="362" t="s">
        <v>273</v>
      </c>
      <c r="E81" s="111">
        <v>44927</v>
      </c>
      <c r="F81" s="112" t="s">
        <v>139</v>
      </c>
      <c r="G81" s="113">
        <v>375265.15</v>
      </c>
      <c r="H81" s="113">
        <f>'Diurno Des'!$Q$132*6+'Diurno Des'!$T$132*1+'Diurno Arm'!$Q$132*18+'Diurno Arm'!$T$132*1+'Diurno Arm'!$Z$128*30+'Diurno Arm'!$Z$128*30+'Diurno Arm'!$Z$128*1+'Not Des'!$Q$132*4+'Not Des'!$T$132*1+'Not Arm'!$Q$132*18+'Not Arm'!$W$132*1+'Diurno 44h'!$Q$132*6+'Diurno 44h'!$W$132*1+'Diurno 44h'!$T$128*4+'Encar Diurno'!$Q$132*2+'Encar Diurno'!$Q$137*1+'Encar Not'!$Q$132*2+'Encar Not'!$Q$137*1</f>
        <v>398042.57517446647</v>
      </c>
      <c r="I81" s="119">
        <f t="shared" ref="I81:I86" si="8">H81-G81</f>
        <v>22777.425174466451</v>
      </c>
      <c r="J81" s="303" t="s">
        <v>289</v>
      </c>
      <c r="K81" s="304"/>
    </row>
    <row r="82" spans="2:17" x14ac:dyDescent="0.2">
      <c r="B82" s="320"/>
      <c r="C82" s="360"/>
      <c r="D82" s="362"/>
      <c r="E82" s="111">
        <v>44958</v>
      </c>
      <c r="F82" s="112" t="s">
        <v>139</v>
      </c>
      <c r="G82" s="113">
        <f>371389.51-1350.07</f>
        <v>370039.44</v>
      </c>
      <c r="H82" s="113">
        <f>'Diurno Des'!$Q$132*6+'Diurno Arm'!$Q$132*18+'Diurno Arm'!$T$132*1+'Diurno Arm'!$Z$128*30+'Not Des'!$Q$132*4+'Not Des'!$T$132*1+'Not Arm'!$Q$132*18+'Not Arm'!$W$132*1+'Diurno 44h'!$Q$132*6+'Diurno 44h'!$T$128*2+'Encar Diurno'!$Q$132*3+'Encar Not'!$Q$132*3</f>
        <v>391383.32465573738</v>
      </c>
      <c r="I82" s="119">
        <f t="shared" si="8"/>
        <v>21343.884655737376</v>
      </c>
      <c r="J82" s="131"/>
      <c r="K82" s="131"/>
    </row>
    <row r="83" spans="2:17" x14ac:dyDescent="0.2">
      <c r="B83" s="320"/>
      <c r="C83" s="360"/>
      <c r="D83" s="362"/>
      <c r="E83" s="111">
        <v>44986</v>
      </c>
      <c r="F83" s="112" t="s">
        <v>139</v>
      </c>
      <c r="G83" s="113">
        <f>302804.2+94030.15</f>
        <v>396834.35</v>
      </c>
      <c r="H83" s="306">
        <f>'Diurno Des'!$Q$132*6+'Diurno Des'!$T$132*1+'Diurno Arm'!$Q$132*18+'Diurno Arm'!$Z$128*3+'Not Des'!$Q$132*4+'Not Arm'!$Q$132*18+'Not Arm'!$W$132*2+'Diurno 44h'!$Q$132*6+'Diurno 44h'!$W$132*1+'Encar Diurno'!$Q$132*5+'Encar Not'!$Q$132*5</f>
        <v>421996.40758897533</v>
      </c>
      <c r="I83" s="119">
        <f t="shared" si="8"/>
        <v>25162.057588975353</v>
      </c>
      <c r="J83" s="302">
        <f>'Diurno Des'!$Q$132*6+'Diurno Des'!$T$132*1+'Diurno Arm'!$Q$132*18+'Diurno Arm'!$Z$128*1+'Not Des'!$Q$132*4+'Not Arm'!$Q$132*18+'Not Arm'!$W$132*2+'Diurno 44h'!$Q$132*6+'Diurno 44h'!$W$132*1+'Encar Diurno'!$Q$132*4+'Encar Diurno'!$Q$132*1+'Encar Not'!$Q$132*4+'Encar Not'!$Q$132*1</f>
        <v>421639.83586299175</v>
      </c>
    </row>
    <row r="84" spans="2:17" x14ac:dyDescent="0.2">
      <c r="B84" s="320"/>
      <c r="C84" s="360"/>
      <c r="D84" s="362"/>
      <c r="E84" s="111">
        <v>45017</v>
      </c>
      <c r="F84" s="112" t="s">
        <v>139</v>
      </c>
      <c r="G84" s="113">
        <v>381975.51</v>
      </c>
      <c r="H84" s="292">
        <f>'Diurno Des'!$Q$132*6+'Diurno Des'!$Z$128*10+'Diurno Des'!$Z$128*7+'Diurno Arm'!$Q$132*18+'Diurno Arm'!$T$132*3+'Diurno Arm'!$Z$128*5+'Diurno Arm'!$Z$128*6+'Not Des'!$Q$132*4+'Not Arm'!$Q$132*18+'Diurno 44h'!$Q$132*6+'Diurno 44h'!$T$128*5+'Encar Diurno'!$Q$132*4+'Encar Not'!$Q$132*4</f>
        <v>404400.02107872913</v>
      </c>
      <c r="I84" s="119">
        <f t="shared" si="8"/>
        <v>22424.51107872912</v>
      </c>
      <c r="J84" s="195"/>
    </row>
    <row r="85" spans="2:17" x14ac:dyDescent="0.2">
      <c r="B85" s="320"/>
      <c r="C85" s="360"/>
      <c r="D85" s="362"/>
      <c r="E85" s="111">
        <v>45047</v>
      </c>
      <c r="F85" s="112" t="s">
        <v>139</v>
      </c>
      <c r="G85" s="113">
        <v>390108.92</v>
      </c>
      <c r="H85" s="292">
        <f>'Diurno Des'!$Q$132*6+'Diurno Des'!$Z$128*8+'Diurno Arm'!$Q$132*18+'Diurno Arm'!$Z$128*1+'Not Des'!$Q$132*4+'Not Des'!$T$132*1+'Not Arm'!$Q$132*18+'Not Arm'!$W$132*1+'Diurno 44h'!$Q$132*6+'Diurno 44h'!$W$132*2+'Diurno 44h'!$T$128*25+'Encar Diurno'!$Q$132*4+'Encar Not'!$Q$132*4</f>
        <v>413466.74734172091</v>
      </c>
      <c r="I85" s="119">
        <f t="shared" si="8"/>
        <v>23357.827341720928</v>
      </c>
      <c r="J85" s="195"/>
    </row>
    <row r="86" spans="2:17" x14ac:dyDescent="0.2">
      <c r="B86" s="321"/>
      <c r="C86" s="361"/>
      <c r="D86" s="362"/>
      <c r="E86" s="111">
        <v>45078</v>
      </c>
      <c r="F86" s="112" t="s">
        <v>139</v>
      </c>
      <c r="G86" s="113">
        <v>402641.39</v>
      </c>
      <c r="H86" s="292">
        <f>'Diurno Des'!$Q$132*6+'Diurno Arm'!$Q$132*18+'Diurno Arm'!$Z$128*3+'Diurno Arm'!$Z$128*2+'Diurno Arm'!$T$132*4+'Not Des'!$Q$132*4+'Not Arm'!$Q$132*18+'Not Arm'!$W$132*2+'Diurno 44h'!$Q$132*6+'Diurno 44h'!$T$128*2+'Diurno 44h'!$T$128*25+'Encar Diurno'!$Q$132*4+'Encar Not'!$Q$132*4</f>
        <v>427362.60265573731</v>
      </c>
      <c r="I86" s="119">
        <f t="shared" si="8"/>
        <v>24721.212655737298</v>
      </c>
      <c r="J86" s="195"/>
    </row>
    <row r="87" spans="2:17" x14ac:dyDescent="0.2">
      <c r="B87" s="322" t="s">
        <v>76</v>
      </c>
      <c r="C87" s="323"/>
      <c r="D87" s="324"/>
      <c r="E87" s="322" t="s">
        <v>287</v>
      </c>
      <c r="F87" s="323"/>
      <c r="G87" s="323"/>
      <c r="H87" s="324"/>
      <c r="I87" s="116">
        <f>SUM(I81:I86)</f>
        <v>139786.91849536652</v>
      </c>
    </row>
    <row r="88" spans="2:17" x14ac:dyDescent="0.2">
      <c r="B88" s="114"/>
      <c r="C88" s="114"/>
      <c r="D88" s="114"/>
      <c r="E88" s="114"/>
      <c r="F88" s="114"/>
      <c r="G88" s="114"/>
      <c r="H88" s="114"/>
      <c r="I88" s="115"/>
    </row>
    <row r="89" spans="2:17" x14ac:dyDescent="0.2">
      <c r="B89" s="114"/>
      <c r="C89" s="114"/>
      <c r="D89" s="114"/>
      <c r="E89" s="114"/>
      <c r="F89" s="114"/>
      <c r="G89" s="267"/>
      <c r="H89" s="267"/>
      <c r="I89" s="267"/>
      <c r="J89" s="267"/>
    </row>
    <row r="90" spans="2:17" x14ac:dyDescent="0.2">
      <c r="B90" s="114"/>
      <c r="C90" s="114"/>
      <c r="D90" s="114"/>
      <c r="E90" s="114"/>
      <c r="F90" s="114"/>
      <c r="G90" s="114"/>
      <c r="H90" s="114"/>
      <c r="I90" s="115"/>
    </row>
    <row r="91" spans="2:17" x14ac:dyDescent="0.2">
      <c r="B91" s="314" t="s">
        <v>141</v>
      </c>
      <c r="C91" s="314"/>
      <c r="D91" s="314"/>
      <c r="E91" s="314"/>
      <c r="F91" s="314"/>
      <c r="G91" s="314"/>
      <c r="H91" s="314"/>
      <c r="I91" s="314"/>
    </row>
    <row r="92" spans="2:17" x14ac:dyDescent="0.2">
      <c r="B92" s="315" t="s">
        <v>140</v>
      </c>
      <c r="C92" s="315"/>
      <c r="D92" s="315"/>
      <c r="E92" s="315"/>
      <c r="F92" s="315"/>
      <c r="G92" s="315"/>
      <c r="H92" s="315"/>
      <c r="I92" s="315"/>
    </row>
    <row r="94" spans="2:17" ht="15.75" x14ac:dyDescent="0.25">
      <c r="B94" s="330" t="s">
        <v>291</v>
      </c>
      <c r="C94" s="330"/>
      <c r="D94" s="330"/>
      <c r="E94" s="330"/>
      <c r="F94" s="330"/>
      <c r="G94" s="330"/>
      <c r="H94" s="330"/>
      <c r="I94" s="331"/>
      <c r="K94" s="265" t="s">
        <v>251</v>
      </c>
      <c r="L94" s="265"/>
      <c r="M94" s="265"/>
      <c r="N94" s="265"/>
      <c r="O94" s="265"/>
      <c r="P94" s="266"/>
    </row>
    <row r="95" spans="2:17" ht="38.25" x14ac:dyDescent="0.2">
      <c r="B95" s="117" t="s">
        <v>131</v>
      </c>
      <c r="C95" s="118" t="s">
        <v>132</v>
      </c>
      <c r="D95" s="118" t="s">
        <v>133</v>
      </c>
      <c r="E95" s="118" t="s">
        <v>134</v>
      </c>
      <c r="F95" s="118" t="s">
        <v>240</v>
      </c>
      <c r="G95" s="117" t="s">
        <v>136</v>
      </c>
      <c r="H95" s="118" t="s">
        <v>137</v>
      </c>
      <c r="I95" s="118" t="s">
        <v>157</v>
      </c>
      <c r="K95" s="118" t="s">
        <v>132</v>
      </c>
      <c r="L95" s="118" t="s">
        <v>134</v>
      </c>
      <c r="M95" s="118" t="s">
        <v>240</v>
      </c>
      <c r="N95" s="118" t="s">
        <v>255</v>
      </c>
      <c r="O95" s="118" t="s">
        <v>256</v>
      </c>
      <c r="P95" s="118" t="s">
        <v>257</v>
      </c>
    </row>
    <row r="96" spans="2:17" ht="12.75" customHeight="1" x14ac:dyDescent="0.2">
      <c r="B96" s="319" t="s">
        <v>148</v>
      </c>
      <c r="C96" s="316" t="s">
        <v>253</v>
      </c>
      <c r="D96" s="317" t="s">
        <v>273</v>
      </c>
      <c r="E96" s="111">
        <v>44927</v>
      </c>
      <c r="F96" s="112" t="s">
        <v>139</v>
      </c>
      <c r="G96" s="113">
        <v>375265.15</v>
      </c>
      <c r="H96" s="113">
        <f>'Diurno Des'!$Q$132*6+'Diurno Des'!$T$132*1+'Diurno Arm'!$Q$132*18+'Diurno Arm'!$T$132*1+'Diurno Arm'!$Z$128*30+'Diurno Arm'!$Z$128*30+'Diurno Arm'!$Z$128*1+'Not Des'!$Q$132*4+'Not Des'!$T$132*1+'Not Arm'!$Q$132*18+'Not Arm'!$W$132*1+'Diurno 44h'!$Q$132*6+'Diurno 44h'!$W$132*1+'Diurno 44h'!$T$128*4+'Encar Diurno'!$Q$132*2+'Encar Diurno'!$Q$137*1+'Encar Not'!$Q$132*2+'Encar Not'!$Q$137*1</f>
        <v>398042.57517446647</v>
      </c>
      <c r="I96" s="119">
        <f t="shared" ref="I96:I115" si="9">H96-G96</f>
        <v>22777.425174466451</v>
      </c>
      <c r="K96" s="316" t="s">
        <v>246</v>
      </c>
      <c r="L96" s="111">
        <v>44682</v>
      </c>
      <c r="M96" s="112" t="s">
        <v>252</v>
      </c>
      <c r="N96" s="113">
        <f>$G$44*20/30</f>
        <v>317173.13333333336</v>
      </c>
      <c r="O96" s="113">
        <f>$G$57*20/30</f>
        <v>317173.04000000004</v>
      </c>
      <c r="P96" s="119">
        <f>O96-N96</f>
        <v>-9.3333333323244005E-2</v>
      </c>
      <c r="Q96" s="357">
        <f>SUM(P96:P98)</f>
        <v>-0.28933333326131105</v>
      </c>
    </row>
    <row r="97" spans="2:17" x14ac:dyDescent="0.2">
      <c r="B97" s="320"/>
      <c r="C97" s="316"/>
      <c r="D97" s="318"/>
      <c r="E97" s="111">
        <v>44958</v>
      </c>
      <c r="F97" s="112" t="s">
        <v>139</v>
      </c>
      <c r="G97" s="113">
        <f>371389.51-1350.07</f>
        <v>370039.44</v>
      </c>
      <c r="H97" s="113">
        <f>'Diurno Des'!$Q$132*6+'Diurno Arm'!$Q$132*18+'Diurno Arm'!$T$132*1+'Diurno Arm'!$Z$128*30+'Not Des'!$Q$132*4+'Not Des'!$T$132*1+'Not Arm'!$Q$132*18+'Not Arm'!$W$132*1+'Diurno 44h'!$Q$132*6+'Diurno 44h'!$T$128*2+'Encar Diurno'!$Q$132*3+'Encar Not'!$Q$132*3</f>
        <v>391383.32465573738</v>
      </c>
      <c r="I97" s="119">
        <f t="shared" si="9"/>
        <v>21343.884655737376</v>
      </c>
      <c r="K97" s="316"/>
      <c r="L97" s="111">
        <v>44713</v>
      </c>
      <c r="M97" s="112" t="s">
        <v>139</v>
      </c>
      <c r="N97" s="113">
        <f>$G$44</f>
        <v>475759.7</v>
      </c>
      <c r="O97" s="113">
        <f>$G$57</f>
        <v>475759.56000000006</v>
      </c>
      <c r="P97" s="119">
        <f>O97-N97</f>
        <v>-0.13999999995576218</v>
      </c>
      <c r="Q97" s="358"/>
    </row>
    <row r="98" spans="2:17" x14ac:dyDescent="0.2">
      <c r="B98" s="320"/>
      <c r="C98" s="316"/>
      <c r="D98" s="318"/>
      <c r="E98" s="111">
        <v>44986</v>
      </c>
      <c r="F98" s="112" t="s">
        <v>139</v>
      </c>
      <c r="G98" s="113">
        <f>302804.2+94030.15</f>
        <v>396834.35</v>
      </c>
      <c r="H98" s="306">
        <f>'Diurno Des'!$Q$132*6+'Diurno Des'!$T$132*1+'Diurno Arm'!$Q$132*18+'Diurno Arm'!$Z$128*3+'Not Des'!$Q$132*4+'Not Arm'!$Q$132*18+'Not Arm'!$W$132*2+'Diurno 44h'!$Q$132*6+'Diurno 44h'!$W$132*1+'Encar Diurno'!$Q$132*5+'Encar Not'!$Q$132*5</f>
        <v>421996.40758897533</v>
      </c>
      <c r="I98" s="119">
        <f t="shared" si="9"/>
        <v>25162.057588975353</v>
      </c>
      <c r="K98" s="316"/>
      <c r="L98" s="111">
        <v>44743</v>
      </c>
      <c r="M98" s="112" t="s">
        <v>248</v>
      </c>
      <c r="N98" s="113">
        <f>$G$44*12/30</f>
        <v>190303.88</v>
      </c>
      <c r="O98" s="113">
        <f>$G$57*12/30</f>
        <v>190303.82400000002</v>
      </c>
      <c r="P98" s="119">
        <f>O98-N98</f>
        <v>-5.5999999982304871E-2</v>
      </c>
      <c r="Q98" s="358"/>
    </row>
    <row r="99" spans="2:17" ht="12.75" customHeight="1" x14ac:dyDescent="0.2">
      <c r="B99" s="320"/>
      <c r="C99" s="316"/>
      <c r="D99" s="318"/>
      <c r="E99" s="111">
        <v>45017</v>
      </c>
      <c r="F99" s="112" t="s">
        <v>139</v>
      </c>
      <c r="G99" s="113">
        <v>381975.51</v>
      </c>
      <c r="H99" s="292">
        <f>'Diurno Des'!$Q$132*6+'Diurno Des'!$Z$128*10+'Diurno Des'!$Z$128*7+'Diurno Arm'!$Q$132*18+'Diurno Arm'!$T$132*3+'Diurno Arm'!$Z$128*5+'Diurno Arm'!$Z$128*6+'Not Des'!$Q$132*4+'Not Arm'!$Q$132*18+'Diurno 44h'!$Q$132*6+'Diurno 44h'!$T$128*5+'Encar Diurno'!$Q$132*4+'Encar Not'!$Q$132*4</f>
        <v>404400.02107872913</v>
      </c>
      <c r="I99" s="119">
        <f t="shared" si="9"/>
        <v>22424.51107872912</v>
      </c>
      <c r="K99" s="316" t="s">
        <v>253</v>
      </c>
      <c r="L99" s="111">
        <v>44743</v>
      </c>
      <c r="M99" s="112" t="s">
        <v>254</v>
      </c>
      <c r="N99" s="113"/>
      <c r="O99" s="113">
        <f>$G$57*18/30</f>
        <v>285455.73600000009</v>
      </c>
      <c r="P99" s="119">
        <f t="shared" ref="P99:P125" si="10">O99-N99</f>
        <v>285455.73600000009</v>
      </c>
    </row>
    <row r="100" spans="2:17" x14ac:dyDescent="0.2">
      <c r="B100" s="320"/>
      <c r="C100" s="316"/>
      <c r="D100" s="318"/>
      <c r="E100" s="111">
        <v>45047</v>
      </c>
      <c r="F100" s="112" t="s">
        <v>139</v>
      </c>
      <c r="G100" s="113">
        <v>390108.92</v>
      </c>
      <c r="H100" s="292">
        <f>'Diurno Des'!$Q$132*6+'Diurno Des'!$Z$128*8+'Diurno Arm'!$Q$132*18+'Diurno Arm'!$Z$128*1+'Not Des'!$Q$132*4+'Not Des'!$T$132*1+'Not Arm'!$Q$132*18+'Not Arm'!$W$132*1+'Diurno 44h'!$Q$132*6+'Diurno 44h'!$W$132*2+'Diurno 44h'!$T$128*25+'Encar Diurno'!$Q$132*4+'Encar Not'!$Q$132*4</f>
        <v>413466.74734172091</v>
      </c>
      <c r="I100" s="119">
        <f t="shared" si="9"/>
        <v>23357.827341720928</v>
      </c>
      <c r="K100" s="316"/>
      <c r="L100" s="111">
        <v>44774</v>
      </c>
      <c r="M100" s="112" t="s">
        <v>139</v>
      </c>
      <c r="N100" s="113"/>
      <c r="O100" s="113">
        <f>$G$57</f>
        <v>475759.56000000006</v>
      </c>
      <c r="P100" s="119">
        <f t="shared" si="10"/>
        <v>475759.56000000006</v>
      </c>
    </row>
    <row r="101" spans="2:17" ht="12.75" customHeight="1" x14ac:dyDescent="0.2">
      <c r="B101" s="320"/>
      <c r="C101" s="316"/>
      <c r="D101" s="318"/>
      <c r="E101" s="111">
        <v>45078</v>
      </c>
      <c r="F101" s="112" t="s">
        <v>139</v>
      </c>
      <c r="G101" s="113">
        <v>402641.39</v>
      </c>
      <c r="H101" s="292">
        <f>'Diurno Des'!$Q$132*6+'Diurno Arm'!$Q$132*18+'Diurno Arm'!$Z$128*3+'Diurno Arm'!$Z$128*2+'Diurno Arm'!$T$132*4+'Not Des'!$Q$132*4+'Not Arm'!$Q$132*18+'Not Arm'!$W$132*2+'Diurno 44h'!$Q$132*6+'Diurno 44h'!$T$128*2+'Diurno 44h'!$T$128*25+'Encar Diurno'!$Q$132*4+'Encar Not'!$Q$132*4</f>
        <v>427362.60265573731</v>
      </c>
      <c r="I101" s="119">
        <f t="shared" si="9"/>
        <v>24721.212655737298</v>
      </c>
      <c r="K101" s="316"/>
      <c r="L101" s="111">
        <v>44805</v>
      </c>
      <c r="M101" s="112" t="s">
        <v>139</v>
      </c>
      <c r="N101" s="113"/>
      <c r="O101" s="113">
        <f>$G$57</f>
        <v>475759.56000000006</v>
      </c>
      <c r="P101" s="119">
        <f t="shared" si="10"/>
        <v>475759.56000000006</v>
      </c>
    </row>
    <row r="102" spans="2:17" ht="12.75" customHeight="1" x14ac:dyDescent="0.2">
      <c r="B102" s="320"/>
      <c r="C102" s="316"/>
      <c r="D102" s="318"/>
      <c r="E102" s="111">
        <v>45108</v>
      </c>
      <c r="F102" s="307" t="s">
        <v>248</v>
      </c>
      <c r="G102" s="113">
        <f>$G$20*12/30</f>
        <v>181439.52799999999</v>
      </c>
      <c r="H102" s="292">
        <f>$G$57*12/30</f>
        <v>190303.82400000002</v>
      </c>
      <c r="I102" s="119">
        <f t="shared" si="9"/>
        <v>8864.2960000000312</v>
      </c>
      <c r="K102" s="316"/>
      <c r="L102" s="111"/>
      <c r="M102" s="112"/>
      <c r="N102" s="113"/>
      <c r="O102" s="113"/>
      <c r="P102" s="119"/>
    </row>
    <row r="103" spans="2:17" ht="12.75" customHeight="1" x14ac:dyDescent="0.2">
      <c r="B103" s="320"/>
      <c r="C103" s="316" t="s">
        <v>290</v>
      </c>
      <c r="D103" s="318"/>
      <c r="E103" s="111">
        <v>45108</v>
      </c>
      <c r="F103" s="307" t="s">
        <v>254</v>
      </c>
      <c r="G103" s="113">
        <f>$G$20*18/30</f>
        <v>272159.29200000002</v>
      </c>
      <c r="H103" s="292">
        <f>$G$57*18/30</f>
        <v>285455.73600000009</v>
      </c>
      <c r="I103" s="119">
        <f t="shared" si="9"/>
        <v>13296.444000000076</v>
      </c>
      <c r="K103" s="316"/>
      <c r="L103" s="111"/>
      <c r="M103" s="112"/>
      <c r="N103" s="113"/>
      <c r="O103" s="113"/>
      <c r="P103" s="119"/>
    </row>
    <row r="104" spans="2:17" ht="12.75" customHeight="1" x14ac:dyDescent="0.2">
      <c r="B104" s="320"/>
      <c r="C104" s="316"/>
      <c r="D104" s="318"/>
      <c r="E104" s="111">
        <v>45139</v>
      </c>
      <c r="F104" s="308" t="s">
        <v>139</v>
      </c>
      <c r="G104" s="113">
        <f t="shared" ref="G104:G114" si="11">$G$20</f>
        <v>453598.82</v>
      </c>
      <c r="H104" s="292">
        <f t="shared" ref="H104:H114" si="12">$G$57</f>
        <v>475759.56000000006</v>
      </c>
      <c r="I104" s="119">
        <f t="shared" si="9"/>
        <v>22160.740000000049</v>
      </c>
      <c r="K104" s="316"/>
      <c r="L104" s="111"/>
      <c r="M104" s="112"/>
      <c r="N104" s="113"/>
      <c r="O104" s="113"/>
      <c r="P104" s="119"/>
    </row>
    <row r="105" spans="2:17" ht="12.75" customHeight="1" x14ac:dyDescent="0.2">
      <c r="B105" s="320"/>
      <c r="C105" s="316"/>
      <c r="D105" s="318"/>
      <c r="E105" s="111">
        <v>45170</v>
      </c>
      <c r="F105" s="308" t="s">
        <v>139</v>
      </c>
      <c r="G105" s="113">
        <f t="shared" si="11"/>
        <v>453598.82</v>
      </c>
      <c r="H105" s="292">
        <f t="shared" si="12"/>
        <v>475759.56000000006</v>
      </c>
      <c r="I105" s="119">
        <f t="shared" si="9"/>
        <v>22160.740000000049</v>
      </c>
      <c r="K105" s="316"/>
      <c r="L105" s="111"/>
      <c r="M105" s="112"/>
      <c r="N105" s="113"/>
      <c r="O105" s="113"/>
      <c r="P105" s="119"/>
    </row>
    <row r="106" spans="2:17" ht="12.75" customHeight="1" x14ac:dyDescent="0.2">
      <c r="B106" s="320"/>
      <c r="C106" s="316"/>
      <c r="D106" s="318"/>
      <c r="E106" s="111">
        <v>45200</v>
      </c>
      <c r="F106" s="308" t="s">
        <v>139</v>
      </c>
      <c r="G106" s="113">
        <f t="shared" si="11"/>
        <v>453598.82</v>
      </c>
      <c r="H106" s="292">
        <f t="shared" si="12"/>
        <v>475759.56000000006</v>
      </c>
      <c r="I106" s="119">
        <f t="shared" si="9"/>
        <v>22160.740000000049</v>
      </c>
      <c r="K106" s="316"/>
      <c r="L106" s="111"/>
      <c r="M106" s="112"/>
      <c r="N106" s="113"/>
      <c r="O106" s="113"/>
      <c r="P106" s="119"/>
    </row>
    <row r="107" spans="2:17" ht="12.75" customHeight="1" x14ac:dyDescent="0.2">
      <c r="B107" s="320"/>
      <c r="C107" s="316"/>
      <c r="D107" s="318"/>
      <c r="E107" s="111">
        <v>45231</v>
      </c>
      <c r="F107" s="308" t="s">
        <v>139</v>
      </c>
      <c r="G107" s="113">
        <f t="shared" si="11"/>
        <v>453598.82</v>
      </c>
      <c r="H107" s="292">
        <f t="shared" si="12"/>
        <v>475759.56000000006</v>
      </c>
      <c r="I107" s="119">
        <f t="shared" si="9"/>
        <v>22160.740000000049</v>
      </c>
      <c r="K107" s="316"/>
      <c r="L107" s="111"/>
      <c r="M107" s="112"/>
      <c r="N107" s="113"/>
      <c r="O107" s="113"/>
      <c r="P107" s="119"/>
    </row>
    <row r="108" spans="2:17" ht="12.75" customHeight="1" x14ac:dyDescent="0.2">
      <c r="B108" s="320"/>
      <c r="C108" s="316"/>
      <c r="D108" s="318"/>
      <c r="E108" s="111">
        <v>45261</v>
      </c>
      <c r="F108" s="308" t="s">
        <v>139</v>
      </c>
      <c r="G108" s="113">
        <f t="shared" si="11"/>
        <v>453598.82</v>
      </c>
      <c r="H108" s="292">
        <f t="shared" si="12"/>
        <v>475759.56000000006</v>
      </c>
      <c r="I108" s="119">
        <f t="shared" si="9"/>
        <v>22160.740000000049</v>
      </c>
      <c r="K108" s="316"/>
      <c r="L108" s="111"/>
      <c r="M108" s="112"/>
      <c r="N108" s="113"/>
      <c r="O108" s="113"/>
      <c r="P108" s="119"/>
    </row>
    <row r="109" spans="2:17" ht="12.75" customHeight="1" x14ac:dyDescent="0.2">
      <c r="B109" s="320"/>
      <c r="C109" s="316"/>
      <c r="D109" s="318"/>
      <c r="E109" s="111">
        <v>45292</v>
      </c>
      <c r="F109" s="308" t="s">
        <v>139</v>
      </c>
      <c r="G109" s="113">
        <f t="shared" si="11"/>
        <v>453598.82</v>
      </c>
      <c r="H109" s="292">
        <f t="shared" si="12"/>
        <v>475759.56000000006</v>
      </c>
      <c r="I109" s="119">
        <f t="shared" si="9"/>
        <v>22160.740000000049</v>
      </c>
      <c r="K109" s="316"/>
      <c r="L109" s="111"/>
      <c r="M109" s="112"/>
      <c r="N109" s="113"/>
      <c r="O109" s="113"/>
      <c r="P109" s="119"/>
    </row>
    <row r="110" spans="2:17" ht="12.75" customHeight="1" x14ac:dyDescent="0.2">
      <c r="B110" s="320"/>
      <c r="C110" s="316"/>
      <c r="D110" s="318"/>
      <c r="E110" s="111">
        <v>45323</v>
      </c>
      <c r="F110" s="308" t="s">
        <v>139</v>
      </c>
      <c r="G110" s="113">
        <f t="shared" si="11"/>
        <v>453598.82</v>
      </c>
      <c r="H110" s="292">
        <f t="shared" si="12"/>
        <v>475759.56000000006</v>
      </c>
      <c r="I110" s="119">
        <f t="shared" si="9"/>
        <v>22160.740000000049</v>
      </c>
      <c r="K110" s="316"/>
      <c r="L110" s="111"/>
      <c r="M110" s="112"/>
      <c r="N110" s="113"/>
      <c r="O110" s="113"/>
      <c r="P110" s="119"/>
    </row>
    <row r="111" spans="2:17" ht="12.75" customHeight="1" x14ac:dyDescent="0.2">
      <c r="B111" s="320"/>
      <c r="C111" s="316"/>
      <c r="D111" s="318"/>
      <c r="E111" s="111">
        <v>45352</v>
      </c>
      <c r="F111" s="308" t="s">
        <v>139</v>
      </c>
      <c r="G111" s="113">
        <f t="shared" si="11"/>
        <v>453598.82</v>
      </c>
      <c r="H111" s="292">
        <f t="shared" si="12"/>
        <v>475759.56000000006</v>
      </c>
      <c r="I111" s="119">
        <f t="shared" si="9"/>
        <v>22160.740000000049</v>
      </c>
      <c r="K111" s="316"/>
      <c r="L111" s="111"/>
      <c r="M111" s="112"/>
      <c r="N111" s="113"/>
      <c r="O111" s="113"/>
      <c r="P111" s="119"/>
    </row>
    <row r="112" spans="2:17" ht="12.75" customHeight="1" x14ac:dyDescent="0.2">
      <c r="B112" s="320"/>
      <c r="C112" s="316"/>
      <c r="D112" s="318"/>
      <c r="E112" s="111">
        <v>45383</v>
      </c>
      <c r="F112" s="308" t="s">
        <v>139</v>
      </c>
      <c r="G112" s="113">
        <f t="shared" si="11"/>
        <v>453598.82</v>
      </c>
      <c r="H112" s="292">
        <f t="shared" si="12"/>
        <v>475759.56000000006</v>
      </c>
      <c r="I112" s="119">
        <f t="shared" si="9"/>
        <v>22160.740000000049</v>
      </c>
      <c r="K112" s="316"/>
      <c r="L112" s="111"/>
      <c r="M112" s="112"/>
      <c r="N112" s="113"/>
      <c r="O112" s="113"/>
      <c r="P112" s="119"/>
    </row>
    <row r="113" spans="2:16" ht="12.75" customHeight="1" x14ac:dyDescent="0.2">
      <c r="B113" s="320"/>
      <c r="C113" s="316"/>
      <c r="D113" s="318"/>
      <c r="E113" s="111">
        <v>45413</v>
      </c>
      <c r="F113" s="308" t="s">
        <v>139</v>
      </c>
      <c r="G113" s="113">
        <f t="shared" si="11"/>
        <v>453598.82</v>
      </c>
      <c r="H113" s="292">
        <f t="shared" si="12"/>
        <v>475759.56000000006</v>
      </c>
      <c r="I113" s="119">
        <f t="shared" si="9"/>
        <v>22160.740000000049</v>
      </c>
      <c r="K113" s="316"/>
      <c r="L113" s="111"/>
      <c r="M113" s="112"/>
      <c r="N113" s="113"/>
      <c r="O113" s="113"/>
      <c r="P113" s="119"/>
    </row>
    <row r="114" spans="2:16" ht="12.75" customHeight="1" x14ac:dyDescent="0.2">
      <c r="B114" s="320"/>
      <c r="C114" s="316"/>
      <c r="D114" s="318"/>
      <c r="E114" s="111">
        <v>45444</v>
      </c>
      <c r="F114" s="308" t="s">
        <v>139</v>
      </c>
      <c r="G114" s="113">
        <f t="shared" si="11"/>
        <v>453598.82</v>
      </c>
      <c r="H114" s="292">
        <f t="shared" si="12"/>
        <v>475759.56000000006</v>
      </c>
      <c r="I114" s="119">
        <f t="shared" si="9"/>
        <v>22160.740000000049</v>
      </c>
      <c r="K114" s="316"/>
      <c r="L114" s="111"/>
      <c r="M114" s="112"/>
      <c r="N114" s="113"/>
      <c r="O114" s="113"/>
      <c r="P114" s="119"/>
    </row>
    <row r="115" spans="2:16" ht="12.75" customHeight="1" x14ac:dyDescent="0.2">
      <c r="B115" s="321"/>
      <c r="C115" s="316"/>
      <c r="D115" s="318"/>
      <c r="E115" s="111">
        <v>45474</v>
      </c>
      <c r="F115" s="307" t="s">
        <v>248</v>
      </c>
      <c r="G115" s="113">
        <f>$G$20*12/30</f>
        <v>181439.52799999999</v>
      </c>
      <c r="H115" s="292">
        <f>$G$57*12/30</f>
        <v>190303.82400000002</v>
      </c>
      <c r="I115" s="119">
        <f t="shared" si="9"/>
        <v>8864.2960000000312</v>
      </c>
      <c r="K115" s="316"/>
      <c r="L115" s="111"/>
      <c r="M115" s="112"/>
      <c r="N115" s="113"/>
      <c r="O115" s="113"/>
      <c r="P115" s="119"/>
    </row>
    <row r="116" spans="2:16" x14ac:dyDescent="0.2">
      <c r="B116" s="322" t="s">
        <v>76</v>
      </c>
      <c r="C116" s="323"/>
      <c r="D116" s="324"/>
      <c r="E116" s="322" t="s">
        <v>287</v>
      </c>
      <c r="F116" s="323"/>
      <c r="G116" s="323"/>
      <c r="H116" s="324"/>
      <c r="I116" s="116">
        <f>SUM(I96:I115)</f>
        <v>414580.0944953672</v>
      </c>
      <c r="K116" s="316"/>
      <c r="L116" s="111">
        <v>44835</v>
      </c>
      <c r="M116" s="112" t="s">
        <v>139</v>
      </c>
      <c r="N116" s="113"/>
      <c r="O116" s="113">
        <f t="shared" ref="O116:O124" si="13">$G$57</f>
        <v>475759.56000000006</v>
      </c>
      <c r="P116" s="119">
        <f t="shared" si="10"/>
        <v>475759.56000000006</v>
      </c>
    </row>
    <row r="117" spans="2:16" x14ac:dyDescent="0.2">
      <c r="B117" s="114"/>
      <c r="C117" s="114"/>
      <c r="D117" s="114"/>
      <c r="E117" s="114"/>
      <c r="F117" s="114"/>
      <c r="G117" s="114"/>
      <c r="H117" s="114">
        <f>H112/G112</f>
        <v>1.0488553740064845</v>
      </c>
      <c r="I117" s="115"/>
      <c r="K117" s="316"/>
      <c r="L117" s="111">
        <v>44866</v>
      </c>
      <c r="M117" s="112" t="s">
        <v>139</v>
      </c>
      <c r="O117" s="113">
        <f t="shared" si="13"/>
        <v>475759.56000000006</v>
      </c>
      <c r="P117" s="119">
        <f t="shared" si="10"/>
        <v>475759.56000000006</v>
      </c>
    </row>
    <row r="118" spans="2:16" x14ac:dyDescent="0.2">
      <c r="B118" s="114"/>
      <c r="C118" s="114"/>
      <c r="D118" s="114"/>
      <c r="E118" s="114"/>
      <c r="F118" s="114"/>
      <c r="G118" s="267"/>
      <c r="H118" s="313">
        <f>G110*1.05</f>
        <v>476278.761</v>
      </c>
      <c r="I118" s="267"/>
      <c r="K118" s="316"/>
      <c r="L118" s="111">
        <v>44896</v>
      </c>
      <c r="M118" s="112" t="s">
        <v>139</v>
      </c>
      <c r="O118" s="113">
        <f t="shared" si="13"/>
        <v>475759.56000000006</v>
      </c>
      <c r="P118" s="119">
        <f t="shared" si="10"/>
        <v>475759.56000000006</v>
      </c>
    </row>
    <row r="119" spans="2:16" x14ac:dyDescent="0.2">
      <c r="B119" s="114"/>
      <c r="C119" s="114"/>
      <c r="D119" s="114"/>
      <c r="E119" s="114"/>
      <c r="F119" s="114"/>
      <c r="G119" s="114"/>
      <c r="H119" s="114"/>
      <c r="I119" s="115"/>
      <c r="K119" s="316"/>
      <c r="L119" s="111">
        <v>44927</v>
      </c>
      <c r="M119" s="112" t="s">
        <v>139</v>
      </c>
      <c r="O119" s="113">
        <f t="shared" si="13"/>
        <v>475759.56000000006</v>
      </c>
      <c r="P119" s="119">
        <f t="shared" si="10"/>
        <v>475759.56000000006</v>
      </c>
    </row>
    <row r="120" spans="2:16" x14ac:dyDescent="0.2">
      <c r="B120" s="314" t="s">
        <v>141</v>
      </c>
      <c r="C120" s="314"/>
      <c r="D120" s="314"/>
      <c r="E120" s="314"/>
      <c r="F120" s="314"/>
      <c r="G120" s="314"/>
      <c r="H120" s="314"/>
      <c r="I120" s="314"/>
      <c r="K120" s="316"/>
      <c r="L120" s="111">
        <v>44958</v>
      </c>
      <c r="M120" s="112" t="s">
        <v>139</v>
      </c>
      <c r="O120" s="113">
        <f t="shared" si="13"/>
        <v>475759.56000000006</v>
      </c>
      <c r="P120" s="119">
        <f t="shared" si="10"/>
        <v>475759.56000000006</v>
      </c>
    </row>
    <row r="121" spans="2:16" x14ac:dyDescent="0.2">
      <c r="B121" s="315" t="s">
        <v>140</v>
      </c>
      <c r="C121" s="315"/>
      <c r="D121" s="315"/>
      <c r="E121" s="315"/>
      <c r="F121" s="315"/>
      <c r="G121" s="315"/>
      <c r="H121" s="315"/>
      <c r="I121" s="315"/>
      <c r="K121" s="316"/>
      <c r="L121" s="111">
        <v>44986</v>
      </c>
      <c r="M121" s="112" t="s">
        <v>139</v>
      </c>
      <c r="O121" s="113">
        <f t="shared" si="13"/>
        <v>475759.56000000006</v>
      </c>
      <c r="P121" s="119">
        <f t="shared" si="10"/>
        <v>475759.56000000006</v>
      </c>
    </row>
    <row r="122" spans="2:16" x14ac:dyDescent="0.2">
      <c r="B122" s="114"/>
      <c r="C122" s="114"/>
      <c r="D122" s="114"/>
      <c r="E122" s="114"/>
      <c r="F122" s="114"/>
      <c r="G122" s="114"/>
      <c r="H122" s="114"/>
      <c r="I122" s="115"/>
      <c r="K122" s="316"/>
      <c r="L122" s="111">
        <v>45017</v>
      </c>
      <c r="M122" s="112" t="s">
        <v>139</v>
      </c>
      <c r="O122" s="113">
        <f t="shared" si="13"/>
        <v>475759.56000000006</v>
      </c>
      <c r="P122" s="119">
        <f t="shared" si="10"/>
        <v>475759.56000000006</v>
      </c>
    </row>
    <row r="123" spans="2:16" x14ac:dyDescent="0.2">
      <c r="B123" s="114"/>
      <c r="C123" s="114"/>
      <c r="D123" s="114"/>
      <c r="E123" s="114"/>
      <c r="F123" s="114"/>
      <c r="G123" s="114"/>
      <c r="H123" s="114"/>
      <c r="I123" s="115"/>
      <c r="K123" s="316"/>
      <c r="L123" s="111">
        <v>45047</v>
      </c>
      <c r="M123" s="112" t="s">
        <v>139</v>
      </c>
      <c r="O123" s="113">
        <f t="shared" si="13"/>
        <v>475759.56000000006</v>
      </c>
      <c r="P123" s="119">
        <f t="shared" si="10"/>
        <v>475759.56000000006</v>
      </c>
    </row>
    <row r="124" spans="2:16" x14ac:dyDescent="0.2">
      <c r="B124" s="114"/>
      <c r="C124" s="114"/>
      <c r="D124" s="114"/>
      <c r="E124" s="114"/>
      <c r="F124" s="114"/>
      <c r="G124" s="114"/>
      <c r="H124" s="114"/>
      <c r="I124" s="115"/>
      <c r="K124" s="316"/>
      <c r="L124" s="111">
        <v>45078</v>
      </c>
      <c r="M124" s="112" t="s">
        <v>139</v>
      </c>
      <c r="O124" s="113">
        <f t="shared" si="13"/>
        <v>475759.56000000006</v>
      </c>
      <c r="P124" s="119">
        <f t="shared" si="10"/>
        <v>475759.56000000006</v>
      </c>
    </row>
    <row r="125" spans="2:16" x14ac:dyDescent="0.2">
      <c r="B125" s="114"/>
      <c r="C125" s="114"/>
      <c r="D125" s="114"/>
      <c r="E125" s="114"/>
      <c r="F125" s="114"/>
      <c r="G125" s="114"/>
      <c r="H125" s="114"/>
      <c r="I125" s="115"/>
      <c r="K125" s="316"/>
      <c r="L125" s="111">
        <v>45108</v>
      </c>
      <c r="M125" s="112" t="s">
        <v>248</v>
      </c>
      <c r="O125" s="113">
        <f>$G$57*12/30</f>
        <v>190303.82400000002</v>
      </c>
      <c r="P125" s="119">
        <f t="shared" si="10"/>
        <v>190303.82400000002</v>
      </c>
    </row>
    <row r="126" spans="2:16" x14ac:dyDescent="0.2">
      <c r="B126" s="114"/>
      <c r="C126" s="114"/>
      <c r="D126" s="114"/>
      <c r="E126" s="114"/>
      <c r="F126" s="114"/>
      <c r="G126" s="114"/>
      <c r="H126" s="114"/>
      <c r="I126" s="115"/>
      <c r="K126" s="322" t="s">
        <v>76</v>
      </c>
      <c r="L126" s="323"/>
      <c r="M126" s="322" t="s">
        <v>247</v>
      </c>
      <c r="N126" s="323"/>
      <c r="O126" s="324"/>
      <c r="P126" s="116">
        <f>SUM(P96:P98)</f>
        <v>-0.28933333326131105</v>
      </c>
    </row>
    <row r="127" spans="2:16" x14ac:dyDescent="0.2">
      <c r="B127" s="114"/>
      <c r="C127" s="114"/>
      <c r="D127" s="114">
        <v>1</v>
      </c>
      <c r="E127" s="305">
        <f>'Diurno Des'!$Q$132*6</f>
        <v>35097</v>
      </c>
      <c r="F127" s="114"/>
      <c r="G127" s="114"/>
      <c r="H127" s="114"/>
      <c r="I127" s="115"/>
      <c r="K127" s="267"/>
      <c r="L127" s="267"/>
      <c r="M127" s="267"/>
      <c r="N127" s="267"/>
      <c r="O127" s="267"/>
      <c r="P127" s="115">
        <f>SUM(P99:P125)</f>
        <v>5709114.7200000016</v>
      </c>
    </row>
    <row r="128" spans="2:16" x14ac:dyDescent="0.2">
      <c r="B128" s="114"/>
      <c r="C128" s="114"/>
      <c r="D128" s="114">
        <v>2</v>
      </c>
      <c r="E128" s="305">
        <f>'Diurno Des'!$Z$128*10</f>
        <v>1782.8586299179162</v>
      </c>
      <c r="F128" s="114"/>
      <c r="G128" s="114"/>
      <c r="H128" s="114"/>
      <c r="I128" s="115"/>
      <c r="K128" s="267"/>
      <c r="L128" s="267"/>
      <c r="M128" s="267"/>
      <c r="N128" s="267"/>
      <c r="O128" s="267"/>
      <c r="P128" s="115"/>
    </row>
    <row r="129" spans="2:16" x14ac:dyDescent="0.2">
      <c r="B129" s="114"/>
      <c r="C129" s="114"/>
      <c r="D129" s="114">
        <v>3</v>
      </c>
      <c r="E129" s="305">
        <f>'Diurno Des'!$Z$128*7</f>
        <v>1248.0010409425413</v>
      </c>
      <c r="F129" s="114"/>
      <c r="G129" s="114"/>
      <c r="H129" s="114"/>
      <c r="I129" s="115"/>
      <c r="K129" s="267"/>
      <c r="L129" s="267"/>
      <c r="M129" s="267"/>
      <c r="N129" s="267"/>
      <c r="O129" s="267"/>
      <c r="P129" s="115"/>
    </row>
    <row r="130" spans="2:16" x14ac:dyDescent="0.2">
      <c r="B130" s="114"/>
      <c r="C130" s="114"/>
      <c r="D130" s="114">
        <v>4</v>
      </c>
      <c r="E130" s="305">
        <f>'Diurno Arm'!$Q$132*18</f>
        <v>105769.08</v>
      </c>
      <c r="F130" s="114"/>
      <c r="G130" s="114"/>
      <c r="H130" s="114"/>
      <c r="I130" s="115"/>
      <c r="K130" s="114"/>
      <c r="L130" s="114"/>
      <c r="M130" s="114"/>
      <c r="N130" s="114"/>
      <c r="O130" s="114"/>
      <c r="P130" s="115"/>
    </row>
    <row r="131" spans="2:16" x14ac:dyDescent="0.2">
      <c r="D131" s="114">
        <v>5</v>
      </c>
      <c r="E131" s="305">
        <f>'Diurno Arm'!$T$132*3</f>
        <v>21345.510000000002</v>
      </c>
      <c r="K131" s="314" t="s">
        <v>141</v>
      </c>
      <c r="L131" s="314"/>
      <c r="M131" s="314"/>
      <c r="N131" s="314"/>
      <c r="O131" s="314"/>
      <c r="P131" s="314"/>
    </row>
    <row r="132" spans="2:16" x14ac:dyDescent="0.2">
      <c r="D132" s="114">
        <v>6</v>
      </c>
      <c r="E132" s="305">
        <f>'Diurno Arm'!$Z$128*5</f>
        <v>891.42931495895812</v>
      </c>
      <c r="K132" s="315" t="s">
        <v>140</v>
      </c>
      <c r="L132" s="315"/>
      <c r="M132" s="315"/>
      <c r="N132" s="315"/>
      <c r="O132" s="315"/>
      <c r="P132" s="315"/>
    </row>
    <row r="133" spans="2:16" x14ac:dyDescent="0.2">
      <c r="D133" s="114">
        <v>7</v>
      </c>
      <c r="E133" s="305">
        <f>'Diurno Arm'!$Z$128*6</f>
        <v>1069.7151779507496</v>
      </c>
    </row>
    <row r="134" spans="2:16" x14ac:dyDescent="0.2">
      <c r="D134" s="114">
        <v>8</v>
      </c>
      <c r="E134" s="305">
        <f>'Not Des'!$Q$132*4</f>
        <v>25687.119999999999</v>
      </c>
    </row>
    <row r="135" spans="2:16" x14ac:dyDescent="0.2">
      <c r="D135" s="114">
        <v>9</v>
      </c>
      <c r="E135" s="305">
        <f>'Not Arm'!$Q$132*18</f>
        <v>115697.52</v>
      </c>
    </row>
    <row r="136" spans="2:16" x14ac:dyDescent="0.2">
      <c r="D136" s="114">
        <v>10</v>
      </c>
      <c r="E136" s="305">
        <f>'Diurno 44h'!$Q$132*6</f>
        <v>37434.42</v>
      </c>
    </row>
    <row r="137" spans="2:16" x14ac:dyDescent="0.2">
      <c r="D137" s="114">
        <v>11</v>
      </c>
      <c r="E137" s="305">
        <f>'Diurno 44h'!$T$128*5</f>
        <v>946.6469149589584</v>
      </c>
    </row>
    <row r="138" spans="2:16" x14ac:dyDescent="0.2">
      <c r="D138" s="114">
        <v>12</v>
      </c>
      <c r="E138" s="305">
        <f>'Encar Diurno'!$Q$132*4</f>
        <v>27377.52</v>
      </c>
    </row>
    <row r="139" spans="2:16" x14ac:dyDescent="0.2">
      <c r="D139" s="114">
        <v>13</v>
      </c>
      <c r="E139" s="305">
        <f>'Encar Not'!$Q$132*4</f>
        <v>30053.200000000001</v>
      </c>
    </row>
    <row r="140" spans="2:16" x14ac:dyDescent="0.2">
      <c r="D140" s="114"/>
      <c r="E140" s="114">
        <f>SUM(E127:E139)</f>
        <v>404400.02107872913</v>
      </c>
    </row>
    <row r="141" spans="2:16" x14ac:dyDescent="0.2">
      <c r="D141" s="114"/>
      <c r="E141" s="114"/>
    </row>
    <row r="142" spans="2:16" x14ac:dyDescent="0.2">
      <c r="D142" s="114"/>
      <c r="E142" s="114"/>
    </row>
    <row r="143" spans="2:16" x14ac:dyDescent="0.2">
      <c r="D143" s="114"/>
      <c r="E143" s="114"/>
    </row>
    <row r="144" spans="2:16" x14ac:dyDescent="0.2">
      <c r="D144" s="114"/>
      <c r="E144" s="114"/>
    </row>
    <row r="145" spans="4:5" x14ac:dyDescent="0.2">
      <c r="D145" s="114"/>
      <c r="E145" s="114"/>
    </row>
    <row r="146" spans="4:5" x14ac:dyDescent="0.2">
      <c r="D146" s="114"/>
      <c r="E146" s="114"/>
    </row>
    <row r="147" spans="4:5" x14ac:dyDescent="0.2">
      <c r="D147" s="114"/>
      <c r="E147" s="114"/>
    </row>
    <row r="148" spans="4:5" x14ac:dyDescent="0.2">
      <c r="D148" s="114"/>
      <c r="E148" s="114"/>
    </row>
    <row r="149" spans="4:5" x14ac:dyDescent="0.2">
      <c r="D149" s="114"/>
      <c r="E149" s="114"/>
    </row>
    <row r="150" spans="4:5" x14ac:dyDescent="0.2">
      <c r="D150" s="114"/>
      <c r="E150" s="114"/>
    </row>
    <row r="151" spans="4:5" x14ac:dyDescent="0.2">
      <c r="D151" s="114"/>
      <c r="E151" s="114"/>
    </row>
    <row r="152" spans="4:5" x14ac:dyDescent="0.2">
      <c r="D152" s="114"/>
      <c r="E152" s="114"/>
    </row>
    <row r="153" spans="4:5" x14ac:dyDescent="0.2">
      <c r="D153" s="114"/>
      <c r="E153" s="114"/>
    </row>
    <row r="154" spans="4:5" x14ac:dyDescent="0.2">
      <c r="E154" s="114"/>
    </row>
  </sheetData>
  <mergeCells count="51">
    <mergeCell ref="Q96:Q98"/>
    <mergeCell ref="C81:C86"/>
    <mergeCell ref="D81:D86"/>
    <mergeCell ref="B91:I91"/>
    <mergeCell ref="B92:I92"/>
    <mergeCell ref="B81:B86"/>
    <mergeCell ref="B94:I94"/>
    <mergeCell ref="B32:E32"/>
    <mergeCell ref="B9:G9"/>
    <mergeCell ref="B20:E20"/>
    <mergeCell ref="B11:G11"/>
    <mergeCell ref="K132:P132"/>
    <mergeCell ref="K96:K98"/>
    <mergeCell ref="K99:K125"/>
    <mergeCell ref="K126:L126"/>
    <mergeCell ref="M126:O126"/>
    <mergeCell ref="K131:P131"/>
    <mergeCell ref="B35:G35"/>
    <mergeCell ref="B44:E44"/>
    <mergeCell ref="B48:G48"/>
    <mergeCell ref="B33:E33"/>
    <mergeCell ref="F33:G33"/>
    <mergeCell ref="F58:G58"/>
    <mergeCell ref="B2:G2"/>
    <mergeCell ref="B3:G3"/>
    <mergeCell ref="B4:G4"/>
    <mergeCell ref="B6:G6"/>
    <mergeCell ref="F7:G7"/>
    <mergeCell ref="F8:G8"/>
    <mergeCell ref="B5:G5"/>
    <mergeCell ref="B7:E7"/>
    <mergeCell ref="B8:E8"/>
    <mergeCell ref="B23:G23"/>
    <mergeCell ref="B21:E21"/>
    <mergeCell ref="F21:G21"/>
    <mergeCell ref="B70:B71"/>
    <mergeCell ref="B87:D87"/>
    <mergeCell ref="B45:E45"/>
    <mergeCell ref="E87:H87"/>
    <mergeCell ref="F45:G45"/>
    <mergeCell ref="B79:I79"/>
    <mergeCell ref="B57:E57"/>
    <mergeCell ref="B58:E58"/>
    <mergeCell ref="B120:I120"/>
    <mergeCell ref="B121:I121"/>
    <mergeCell ref="C96:C102"/>
    <mergeCell ref="D96:D115"/>
    <mergeCell ref="C103:C115"/>
    <mergeCell ref="B96:B115"/>
    <mergeCell ref="B116:D116"/>
    <mergeCell ref="E116:H116"/>
  </mergeCells>
  <printOptions horizontalCentered="1" verticalCentered="1"/>
  <pageMargins left="0.19685039370078741" right="0.19685039370078741" top="7.874015748031496E-2" bottom="7.874015748031496E-2" header="0.31496062992125984" footer="0.31496062992125984"/>
  <pageSetup paperSize="9" scale="97" fitToWidth="0" fitToHeight="0" orientation="portrait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8111F0-0C5F-49E2-8930-93101FAAC2C7}">
  <dimension ref="A1:IV36"/>
  <sheetViews>
    <sheetView view="pageBreakPreview" topLeftCell="C19" zoomScale="90" zoomScaleNormal="100" zoomScaleSheetLayoutView="90" workbookViewId="0">
      <selection activeCell="G16" sqref="A16:H32"/>
    </sheetView>
  </sheetViews>
  <sheetFormatPr defaultRowHeight="12.75" x14ac:dyDescent="0.2"/>
  <cols>
    <col min="1" max="1" width="7" style="157" bestFit="1" customWidth="1"/>
    <col min="2" max="2" width="38.85546875" style="157" customWidth="1"/>
    <col min="3" max="5" width="12.85546875" style="157" customWidth="1"/>
    <col min="6" max="6" width="16.7109375" style="157" bestFit="1" customWidth="1"/>
    <col min="7" max="7" width="19.7109375" style="157" customWidth="1"/>
    <col min="8" max="8" width="19.42578125" style="157" customWidth="1"/>
    <col min="9" max="9" width="9.140625" style="157"/>
    <col min="10" max="10" width="25.7109375" style="157" bestFit="1" customWidth="1"/>
    <col min="11" max="11" width="12.5703125" style="157" bestFit="1" customWidth="1"/>
    <col min="12" max="16384" width="9.140625" style="157"/>
  </cols>
  <sheetData>
    <row r="1" spans="1:256" ht="15" x14ac:dyDescent="0.2">
      <c r="A1" s="478"/>
      <c r="B1" s="479"/>
      <c r="C1" s="479"/>
      <c r="D1" s="479"/>
      <c r="E1" s="479"/>
      <c r="F1" s="479"/>
      <c r="G1" s="479"/>
      <c r="H1" s="480"/>
    </row>
    <row r="2" spans="1:256" ht="15" x14ac:dyDescent="0.2">
      <c r="A2" s="481" t="s">
        <v>194</v>
      </c>
      <c r="B2" s="482"/>
      <c r="C2" s="482"/>
      <c r="D2" s="482"/>
      <c r="E2" s="482"/>
      <c r="F2" s="482"/>
      <c r="G2" s="482"/>
      <c r="H2" s="483"/>
    </row>
    <row r="3" spans="1:256" ht="16.5" x14ac:dyDescent="0.3">
      <c r="A3" s="484" t="s">
        <v>195</v>
      </c>
      <c r="B3" s="485"/>
      <c r="C3" s="485"/>
      <c r="D3" s="485"/>
      <c r="E3" s="485"/>
      <c r="F3" s="485"/>
      <c r="G3" s="485"/>
      <c r="H3" s="485"/>
      <c r="I3" s="168"/>
      <c r="J3" s="169"/>
      <c r="K3" s="170"/>
      <c r="L3" s="170"/>
      <c r="M3" s="170"/>
      <c r="N3" s="170"/>
      <c r="O3" s="170"/>
      <c r="P3" s="171"/>
      <c r="Q3" s="171"/>
      <c r="R3" s="171"/>
      <c r="S3" s="171"/>
      <c r="T3" s="171"/>
      <c r="U3" s="171"/>
      <c r="V3" s="171"/>
      <c r="W3" s="171"/>
      <c r="X3" s="171"/>
      <c r="Y3" s="171"/>
      <c r="Z3" s="171"/>
      <c r="AA3" s="171"/>
      <c r="AB3" s="171"/>
      <c r="AC3" s="171"/>
      <c r="AD3" s="171"/>
      <c r="AE3" s="171"/>
      <c r="AF3" s="171"/>
      <c r="AG3" s="171"/>
      <c r="AH3" s="171"/>
      <c r="AI3" s="171"/>
      <c r="AJ3" s="171"/>
      <c r="AK3" s="171"/>
      <c r="AL3" s="171"/>
      <c r="AM3" s="171"/>
      <c r="AN3" s="171"/>
      <c r="AO3" s="171"/>
      <c r="AP3" s="171"/>
      <c r="AQ3" s="171"/>
      <c r="AR3" s="171"/>
      <c r="AS3" s="171"/>
      <c r="AT3" s="171"/>
      <c r="AU3" s="171"/>
      <c r="AV3" s="171"/>
      <c r="AW3" s="171"/>
      <c r="AX3" s="171"/>
      <c r="AY3" s="171"/>
      <c r="AZ3" s="171"/>
      <c r="BA3" s="171"/>
      <c r="BB3" s="171"/>
      <c r="BC3" s="171"/>
      <c r="BD3" s="171"/>
      <c r="BE3" s="171"/>
      <c r="BF3" s="171"/>
      <c r="BG3" s="171"/>
      <c r="BH3" s="171"/>
      <c r="BI3" s="171"/>
      <c r="BJ3" s="171"/>
      <c r="BK3" s="171"/>
      <c r="BL3" s="171"/>
      <c r="BM3" s="171"/>
      <c r="BN3" s="171"/>
      <c r="BO3" s="171"/>
      <c r="BP3" s="171"/>
      <c r="BQ3" s="171"/>
      <c r="BR3" s="171"/>
      <c r="BS3" s="171"/>
      <c r="BT3" s="171"/>
      <c r="BU3" s="171"/>
      <c r="BV3" s="171"/>
      <c r="BW3" s="171"/>
      <c r="BX3" s="171"/>
      <c r="BY3" s="171"/>
      <c r="BZ3" s="171"/>
      <c r="CA3" s="171"/>
      <c r="CB3" s="171"/>
      <c r="CC3" s="171"/>
      <c r="CD3" s="171"/>
      <c r="CE3" s="171"/>
      <c r="CF3" s="171"/>
      <c r="CG3" s="171"/>
      <c r="CH3" s="171"/>
      <c r="CI3" s="171"/>
      <c r="CJ3" s="171"/>
      <c r="CK3" s="171"/>
      <c r="CL3" s="171"/>
      <c r="CM3" s="171"/>
      <c r="CN3" s="171"/>
      <c r="CO3" s="171"/>
      <c r="CP3" s="171"/>
      <c r="CQ3" s="171"/>
      <c r="CR3" s="171"/>
      <c r="CS3" s="171"/>
      <c r="CT3" s="171"/>
      <c r="CU3" s="171"/>
      <c r="CV3" s="171"/>
      <c r="CW3" s="171"/>
      <c r="CX3" s="171"/>
      <c r="CY3" s="171"/>
      <c r="CZ3" s="171"/>
      <c r="DA3" s="171"/>
      <c r="DB3" s="171"/>
      <c r="DC3" s="171"/>
      <c r="DD3" s="171"/>
      <c r="DE3" s="171"/>
      <c r="DF3" s="171"/>
      <c r="DG3" s="171"/>
      <c r="DH3" s="171"/>
      <c r="DI3" s="171"/>
      <c r="DJ3" s="171"/>
      <c r="DK3" s="171"/>
      <c r="DL3" s="171"/>
      <c r="DM3" s="171"/>
      <c r="DN3" s="171"/>
      <c r="DO3" s="171"/>
      <c r="DP3" s="171"/>
      <c r="DQ3" s="171"/>
      <c r="DR3" s="171"/>
      <c r="DS3" s="171"/>
      <c r="DT3" s="171"/>
      <c r="DU3" s="171"/>
      <c r="DV3" s="171"/>
      <c r="DW3" s="171"/>
      <c r="DX3" s="171"/>
      <c r="DY3" s="171"/>
      <c r="DZ3" s="171"/>
      <c r="EA3" s="171"/>
      <c r="EB3" s="171"/>
      <c r="EC3" s="171"/>
      <c r="ED3" s="171"/>
      <c r="EE3" s="171"/>
      <c r="EF3" s="171"/>
      <c r="EG3" s="171"/>
      <c r="EH3" s="171"/>
      <c r="EI3" s="171"/>
      <c r="EJ3" s="171"/>
      <c r="EK3" s="171"/>
      <c r="EL3" s="171"/>
      <c r="EM3" s="171"/>
      <c r="EN3" s="171"/>
      <c r="EO3" s="171"/>
      <c r="EP3" s="171"/>
      <c r="EQ3" s="171"/>
      <c r="ER3" s="171"/>
      <c r="ES3" s="171"/>
      <c r="ET3" s="171"/>
      <c r="EU3" s="171"/>
      <c r="EV3" s="171"/>
      <c r="EW3" s="171"/>
      <c r="EX3" s="171"/>
      <c r="EY3" s="171"/>
      <c r="EZ3" s="171"/>
      <c r="FA3" s="171"/>
      <c r="FB3" s="171"/>
      <c r="FC3" s="171"/>
      <c r="FD3" s="171"/>
      <c r="FE3" s="171"/>
      <c r="FF3" s="171"/>
      <c r="FG3" s="171"/>
      <c r="FH3" s="171"/>
      <c r="FI3" s="171"/>
      <c r="FJ3" s="171"/>
      <c r="FK3" s="171"/>
      <c r="FL3" s="171"/>
      <c r="FM3" s="171"/>
      <c r="FN3" s="171"/>
      <c r="FO3" s="171"/>
      <c r="FP3" s="171"/>
      <c r="FQ3" s="171"/>
      <c r="FR3" s="171"/>
      <c r="FS3" s="171"/>
      <c r="FT3" s="171"/>
      <c r="FU3" s="171"/>
      <c r="FV3" s="171"/>
      <c r="FW3" s="171"/>
      <c r="FX3" s="171"/>
      <c r="FY3" s="171"/>
      <c r="FZ3" s="171"/>
      <c r="GA3" s="171"/>
      <c r="GB3" s="171"/>
      <c r="GC3" s="171"/>
      <c r="GD3" s="171"/>
      <c r="GE3" s="171"/>
      <c r="GF3" s="171"/>
      <c r="GG3" s="171"/>
      <c r="GH3" s="171"/>
      <c r="GI3" s="171"/>
      <c r="GJ3" s="171"/>
      <c r="GK3" s="171"/>
      <c r="GL3" s="171"/>
      <c r="GM3" s="171"/>
      <c r="GN3" s="171"/>
      <c r="GO3" s="171"/>
      <c r="GP3" s="171"/>
      <c r="GQ3" s="171"/>
      <c r="GR3" s="171"/>
      <c r="GS3" s="171"/>
      <c r="GT3" s="171"/>
      <c r="GU3" s="171"/>
      <c r="GV3" s="171"/>
      <c r="GW3" s="171"/>
      <c r="GX3" s="171"/>
      <c r="GY3" s="171"/>
      <c r="GZ3" s="171"/>
      <c r="HA3" s="171"/>
      <c r="HB3" s="171"/>
      <c r="HC3" s="171"/>
      <c r="HD3" s="171"/>
      <c r="HE3" s="171"/>
      <c r="HF3" s="171"/>
      <c r="HG3" s="171"/>
      <c r="HH3" s="171"/>
      <c r="HI3" s="171"/>
      <c r="HJ3" s="171"/>
      <c r="HK3" s="171"/>
      <c r="HL3" s="171"/>
      <c r="HM3" s="171"/>
      <c r="HN3" s="171"/>
      <c r="HO3" s="171"/>
      <c r="HP3" s="171"/>
      <c r="HQ3" s="171"/>
      <c r="HR3" s="171"/>
      <c r="HS3" s="171"/>
      <c r="HT3" s="171"/>
      <c r="HU3" s="171"/>
      <c r="HV3" s="171"/>
      <c r="HW3" s="171"/>
      <c r="HX3" s="171"/>
      <c r="HY3" s="171"/>
      <c r="HZ3" s="171"/>
      <c r="IA3" s="171"/>
      <c r="IB3" s="171"/>
      <c r="IC3" s="171"/>
      <c r="ID3" s="171"/>
      <c r="IE3" s="171"/>
      <c r="IF3" s="171"/>
      <c r="IG3" s="171"/>
      <c r="IH3" s="171"/>
      <c r="II3" s="171"/>
      <c r="IJ3" s="171"/>
      <c r="IK3" s="171"/>
      <c r="IL3" s="171"/>
      <c r="IM3" s="171"/>
      <c r="IN3" s="171"/>
      <c r="IO3" s="171"/>
      <c r="IP3" s="171"/>
      <c r="IQ3" s="171"/>
      <c r="IR3" s="171"/>
      <c r="IS3" s="171"/>
      <c r="IT3" s="171"/>
      <c r="IU3" s="171"/>
      <c r="IV3" s="171"/>
    </row>
    <row r="4" spans="1:256" ht="15" x14ac:dyDescent="0.2">
      <c r="A4" s="478" t="s">
        <v>193</v>
      </c>
      <c r="B4" s="479"/>
      <c r="C4" s="479"/>
      <c r="D4" s="479"/>
      <c r="E4" s="479"/>
      <c r="F4" s="479"/>
      <c r="G4" s="479"/>
      <c r="H4" s="480"/>
    </row>
    <row r="5" spans="1:256" ht="30" x14ac:dyDescent="0.2">
      <c r="A5" s="172" t="s">
        <v>112</v>
      </c>
      <c r="B5" s="172" t="s">
        <v>118</v>
      </c>
      <c r="C5" s="172" t="s">
        <v>196</v>
      </c>
      <c r="D5" s="172" t="s">
        <v>197</v>
      </c>
      <c r="E5" s="172" t="s">
        <v>119</v>
      </c>
      <c r="F5" s="172" t="s">
        <v>113</v>
      </c>
      <c r="G5" s="172" t="s">
        <v>198</v>
      </c>
      <c r="H5" s="172" t="s">
        <v>114</v>
      </c>
    </row>
    <row r="6" spans="1:256" ht="15" x14ac:dyDescent="0.2">
      <c r="A6" s="173">
        <v>1</v>
      </c>
      <c r="B6" s="174" t="s">
        <v>199</v>
      </c>
      <c r="C6" s="173">
        <v>1</v>
      </c>
      <c r="D6" s="173">
        <v>5</v>
      </c>
      <c r="E6" s="175">
        <v>0.2</v>
      </c>
      <c r="F6" s="154">
        <v>3.5</v>
      </c>
      <c r="G6" s="154">
        <f t="shared" ref="G6:G17" si="0">F6*C6</f>
        <v>3.5</v>
      </c>
      <c r="H6" s="155">
        <f>(F6*C6)*(100%-E6)/(D6*12)</f>
        <v>4.6666666666666669E-2</v>
      </c>
      <c r="I6" s="176"/>
    </row>
    <row r="7" spans="1:256" ht="15" x14ac:dyDescent="0.2">
      <c r="A7" s="173">
        <v>2</v>
      </c>
      <c r="B7" s="174" t="s">
        <v>200</v>
      </c>
      <c r="C7" s="173">
        <v>1</v>
      </c>
      <c r="D7" s="173">
        <v>5</v>
      </c>
      <c r="E7" s="175">
        <v>0.2</v>
      </c>
      <c r="F7" s="154">
        <v>13</v>
      </c>
      <c r="G7" s="154">
        <f t="shared" si="0"/>
        <v>13</v>
      </c>
      <c r="H7" s="155">
        <f t="shared" ref="H7:H18" si="1">(F7*C7)*(100%-E7)/(D7*12)</f>
        <v>0.17333333333333334</v>
      </c>
    </row>
    <row r="8" spans="1:256" ht="15" x14ac:dyDescent="0.2">
      <c r="A8" s="173">
        <v>3</v>
      </c>
      <c r="B8" s="174" t="s">
        <v>201</v>
      </c>
      <c r="C8" s="173">
        <v>1</v>
      </c>
      <c r="D8" s="173">
        <v>5</v>
      </c>
      <c r="E8" s="175">
        <v>0.2</v>
      </c>
      <c r="F8" s="154">
        <v>15</v>
      </c>
      <c r="G8" s="154">
        <f t="shared" si="0"/>
        <v>15</v>
      </c>
      <c r="H8" s="155">
        <f t="shared" si="1"/>
        <v>0.2</v>
      </c>
    </row>
    <row r="9" spans="1:256" ht="15" x14ac:dyDescent="0.2">
      <c r="A9" s="173">
        <v>4</v>
      </c>
      <c r="B9" s="174" t="s">
        <v>202</v>
      </c>
      <c r="C9" s="173">
        <v>1</v>
      </c>
      <c r="D9" s="173">
        <v>5</v>
      </c>
      <c r="E9" s="175">
        <v>0.2</v>
      </c>
      <c r="F9" s="154">
        <v>100</v>
      </c>
      <c r="G9" s="154">
        <f t="shared" si="0"/>
        <v>100</v>
      </c>
      <c r="H9" s="155">
        <f t="shared" si="1"/>
        <v>1.3333333333333333</v>
      </c>
    </row>
    <row r="10" spans="1:256" ht="15" x14ac:dyDescent="0.2">
      <c r="A10" s="173">
        <v>5</v>
      </c>
      <c r="B10" s="174" t="s">
        <v>203</v>
      </c>
      <c r="C10" s="173">
        <v>1</v>
      </c>
      <c r="D10" s="173">
        <v>5</v>
      </c>
      <c r="E10" s="175">
        <v>0.2</v>
      </c>
      <c r="F10" s="154">
        <v>3</v>
      </c>
      <c r="G10" s="154">
        <f t="shared" si="0"/>
        <v>3</v>
      </c>
      <c r="H10" s="155">
        <f t="shared" si="1"/>
        <v>4.0000000000000008E-2</v>
      </c>
    </row>
    <row r="11" spans="1:256" ht="15" x14ac:dyDescent="0.2">
      <c r="A11" s="173">
        <v>6</v>
      </c>
      <c r="B11" s="174" t="s">
        <v>204</v>
      </c>
      <c r="C11" s="173">
        <v>1</v>
      </c>
      <c r="D11" s="173">
        <v>5</v>
      </c>
      <c r="E11" s="175">
        <v>0.2</v>
      </c>
      <c r="F11" s="154">
        <v>8</v>
      </c>
      <c r="G11" s="154">
        <f t="shared" si="0"/>
        <v>8</v>
      </c>
      <c r="H11" s="155">
        <f t="shared" si="1"/>
        <v>0.10666666666666667</v>
      </c>
    </row>
    <row r="12" spans="1:256" ht="15" x14ac:dyDescent="0.2">
      <c r="A12" s="173">
        <v>1</v>
      </c>
      <c r="B12" s="174" t="s">
        <v>205</v>
      </c>
      <c r="C12" s="173">
        <v>1</v>
      </c>
      <c r="D12" s="173">
        <v>5</v>
      </c>
      <c r="E12" s="175">
        <v>0.2</v>
      </c>
      <c r="F12" s="154">
        <v>12</v>
      </c>
      <c r="G12" s="154">
        <f t="shared" si="0"/>
        <v>12</v>
      </c>
      <c r="H12" s="155">
        <f t="shared" si="1"/>
        <v>0.16000000000000003</v>
      </c>
    </row>
    <row r="13" spans="1:256" ht="15" x14ac:dyDescent="0.2">
      <c r="A13" s="173">
        <v>2</v>
      </c>
      <c r="B13" s="174" t="s">
        <v>206</v>
      </c>
      <c r="C13" s="173">
        <v>2</v>
      </c>
      <c r="D13" s="173">
        <v>1</v>
      </c>
      <c r="E13" s="175">
        <v>0</v>
      </c>
      <c r="F13" s="154">
        <v>4</v>
      </c>
      <c r="G13" s="154">
        <f t="shared" si="0"/>
        <v>8</v>
      </c>
      <c r="H13" s="155">
        <f t="shared" si="1"/>
        <v>0.66666666666666663</v>
      </c>
    </row>
    <row r="14" spans="1:256" ht="15" x14ac:dyDescent="0.2">
      <c r="A14" s="173">
        <v>3</v>
      </c>
      <c r="B14" s="174" t="s">
        <v>207</v>
      </c>
      <c r="C14" s="173">
        <v>12</v>
      </c>
      <c r="D14" s="173">
        <v>1</v>
      </c>
      <c r="E14" s="175">
        <v>0</v>
      </c>
      <c r="F14" s="154">
        <v>3</v>
      </c>
      <c r="G14" s="154">
        <f t="shared" si="0"/>
        <v>36</v>
      </c>
      <c r="H14" s="155">
        <f t="shared" si="1"/>
        <v>3</v>
      </c>
    </row>
    <row r="15" spans="1:256" ht="15" x14ac:dyDescent="0.2">
      <c r="A15" s="173">
        <v>4</v>
      </c>
      <c r="B15" s="174" t="s">
        <v>208</v>
      </c>
      <c r="C15" s="173">
        <v>2</v>
      </c>
      <c r="D15" s="173">
        <v>1</v>
      </c>
      <c r="E15" s="175">
        <v>0.2</v>
      </c>
      <c r="F15" s="154">
        <v>2.5</v>
      </c>
      <c r="G15" s="154">
        <f t="shared" si="0"/>
        <v>5</v>
      </c>
      <c r="H15" s="155">
        <f t="shared" si="1"/>
        <v>0.33333333333333331</v>
      </c>
    </row>
    <row r="16" spans="1:256" ht="15" x14ac:dyDescent="0.2">
      <c r="A16" s="173">
        <v>5</v>
      </c>
      <c r="B16" s="174" t="s">
        <v>209</v>
      </c>
      <c r="C16" s="173">
        <v>1</v>
      </c>
      <c r="D16" s="173">
        <v>5</v>
      </c>
      <c r="E16" s="175">
        <v>0.2</v>
      </c>
      <c r="F16" s="154">
        <v>13</v>
      </c>
      <c r="G16" s="154">
        <f t="shared" si="0"/>
        <v>13</v>
      </c>
      <c r="H16" s="155">
        <f t="shared" si="1"/>
        <v>0.17333333333333334</v>
      </c>
    </row>
    <row r="17" spans="1:9" ht="15" x14ac:dyDescent="0.2">
      <c r="A17" s="173">
        <v>6</v>
      </c>
      <c r="B17" s="174" t="s">
        <v>210</v>
      </c>
      <c r="C17" s="173">
        <v>1</v>
      </c>
      <c r="D17" s="173">
        <v>5</v>
      </c>
      <c r="E17" s="175">
        <v>0.2</v>
      </c>
      <c r="F17" s="154">
        <v>100</v>
      </c>
      <c r="G17" s="154">
        <f t="shared" si="0"/>
        <v>100</v>
      </c>
      <c r="H17" s="155">
        <f t="shared" si="1"/>
        <v>1.3333333333333333</v>
      </c>
    </row>
    <row r="18" spans="1:9" ht="135" x14ac:dyDescent="0.2">
      <c r="A18" s="173">
        <v>5</v>
      </c>
      <c r="B18" s="174" t="s">
        <v>211</v>
      </c>
      <c r="C18" s="173">
        <v>1</v>
      </c>
      <c r="D18" s="173">
        <v>10</v>
      </c>
      <c r="E18" s="175">
        <v>0.2</v>
      </c>
      <c r="F18" s="177">
        <v>75.67</v>
      </c>
      <c r="G18" s="154">
        <f>F18*C18</f>
        <v>75.67</v>
      </c>
      <c r="H18" s="155">
        <f t="shared" si="1"/>
        <v>0.50446666666666673</v>
      </c>
    </row>
    <row r="19" spans="1:9" ht="15" x14ac:dyDescent="0.2">
      <c r="A19" s="173">
        <v>6</v>
      </c>
      <c r="B19" s="174" t="s">
        <v>212</v>
      </c>
      <c r="C19" s="173">
        <v>1</v>
      </c>
      <c r="D19" s="173">
        <v>10</v>
      </c>
      <c r="E19" s="175">
        <v>0.2</v>
      </c>
      <c r="F19" s="154">
        <v>837.9</v>
      </c>
      <c r="G19" s="154">
        <f>F19*C19</f>
        <v>837.9</v>
      </c>
      <c r="H19" s="155">
        <f>(F19*C19)*(100%-E19)/(D19*12)</f>
        <v>5.5860000000000003</v>
      </c>
      <c r="I19" s="176"/>
    </row>
    <row r="20" spans="1:9" ht="14.25" x14ac:dyDescent="0.2">
      <c r="A20" s="475" t="s">
        <v>213</v>
      </c>
      <c r="B20" s="476"/>
      <c r="C20" s="476"/>
      <c r="D20" s="476"/>
      <c r="E20" s="476"/>
      <c r="F20" s="477"/>
      <c r="G20" s="181">
        <f>SUM(G6:G19)</f>
        <v>1230.07</v>
      </c>
      <c r="H20" s="182">
        <f>SUM(H6:H19)</f>
        <v>13.657133333333332</v>
      </c>
    </row>
    <row r="21" spans="1:9" ht="14.25" x14ac:dyDescent="0.2">
      <c r="A21" s="183" t="s">
        <v>214</v>
      </c>
      <c r="B21" s="184"/>
      <c r="C21" s="184"/>
      <c r="D21" s="184"/>
      <c r="E21" s="184"/>
      <c r="F21" s="185"/>
      <c r="G21" s="180"/>
      <c r="H21" s="182">
        <f>H20/2</f>
        <v>6.8285666666666662</v>
      </c>
    </row>
    <row r="22" spans="1:9" ht="14.25" x14ac:dyDescent="0.2">
      <c r="A22" s="178"/>
      <c r="B22" s="179"/>
      <c r="C22" s="179"/>
      <c r="D22" s="179"/>
      <c r="E22" s="179"/>
      <c r="F22" s="179"/>
      <c r="G22" s="179"/>
      <c r="H22" s="186"/>
    </row>
    <row r="23" spans="1:9" ht="15" x14ac:dyDescent="0.2">
      <c r="A23" s="478" t="s">
        <v>215</v>
      </c>
      <c r="B23" s="479"/>
      <c r="C23" s="479"/>
      <c r="D23" s="479"/>
      <c r="E23" s="479"/>
      <c r="F23" s="479"/>
      <c r="G23" s="479"/>
      <c r="H23" s="480"/>
    </row>
    <row r="24" spans="1:9" ht="15" x14ac:dyDescent="0.2">
      <c r="A24" s="165"/>
      <c r="B24" s="166"/>
      <c r="C24" s="166"/>
      <c r="D24" s="166"/>
      <c r="E24" s="166"/>
      <c r="F24" s="166"/>
      <c r="G24" s="166"/>
      <c r="H24" s="167"/>
    </row>
    <row r="25" spans="1:9" ht="30" x14ac:dyDescent="0.2">
      <c r="A25" s="172" t="s">
        <v>112</v>
      </c>
      <c r="B25" s="172" t="s">
        <v>118</v>
      </c>
      <c r="C25" s="172" t="s">
        <v>196</v>
      </c>
      <c r="D25" s="172" t="s">
        <v>197</v>
      </c>
      <c r="E25" s="172" t="s">
        <v>119</v>
      </c>
      <c r="F25" s="172" t="s">
        <v>113</v>
      </c>
      <c r="G25" s="172" t="s">
        <v>198</v>
      </c>
      <c r="H25" s="172" t="s">
        <v>114</v>
      </c>
    </row>
    <row r="26" spans="1:9" ht="15" x14ac:dyDescent="0.2">
      <c r="A26" s="173">
        <v>1</v>
      </c>
      <c r="B26" s="174" t="s">
        <v>199</v>
      </c>
      <c r="C26" s="173">
        <v>1</v>
      </c>
      <c r="D26" s="173">
        <f>D6</f>
        <v>5</v>
      </c>
      <c r="E26" s="175">
        <v>0.2</v>
      </c>
      <c r="F26" s="154">
        <f>F6</f>
        <v>3.5</v>
      </c>
      <c r="G26" s="154">
        <f t="shared" ref="G26:G34" si="2">F26*C26</f>
        <v>3.5</v>
      </c>
      <c r="H26" s="155">
        <f>(F26*C26)*(100%-E26)/(D26*12)</f>
        <v>4.6666666666666669E-2</v>
      </c>
    </row>
    <row r="27" spans="1:9" ht="15" x14ac:dyDescent="0.2">
      <c r="A27" s="173">
        <v>2</v>
      </c>
      <c r="B27" s="174" t="s">
        <v>200</v>
      </c>
      <c r="C27" s="173">
        <v>1</v>
      </c>
      <c r="D27" s="173">
        <f>D7</f>
        <v>5</v>
      </c>
      <c r="E27" s="175">
        <v>0.2</v>
      </c>
      <c r="F27" s="154">
        <f>F7</f>
        <v>13</v>
      </c>
      <c r="G27" s="154">
        <f t="shared" si="2"/>
        <v>13</v>
      </c>
      <c r="H27" s="155">
        <f t="shared" ref="H27:H34" si="3">(F27*C27)*(100%-E27)/(D27*12)</f>
        <v>0.17333333333333334</v>
      </c>
    </row>
    <row r="28" spans="1:9" ht="15" x14ac:dyDescent="0.2">
      <c r="A28" s="173">
        <v>5</v>
      </c>
      <c r="B28" s="174" t="s">
        <v>203</v>
      </c>
      <c r="C28" s="173">
        <v>1</v>
      </c>
      <c r="D28" s="173">
        <f>D10</f>
        <v>5</v>
      </c>
      <c r="E28" s="175">
        <v>0.2</v>
      </c>
      <c r="F28" s="154">
        <f>F10</f>
        <v>3</v>
      </c>
      <c r="G28" s="154">
        <f t="shared" si="2"/>
        <v>3</v>
      </c>
      <c r="H28" s="155">
        <f t="shared" si="3"/>
        <v>4.0000000000000008E-2</v>
      </c>
    </row>
    <row r="29" spans="1:9" ht="15" x14ac:dyDescent="0.2">
      <c r="A29" s="173">
        <v>6</v>
      </c>
      <c r="B29" s="174" t="s">
        <v>204</v>
      </c>
      <c r="C29" s="173">
        <v>1</v>
      </c>
      <c r="D29" s="173">
        <f>D11</f>
        <v>5</v>
      </c>
      <c r="E29" s="175"/>
      <c r="F29" s="154">
        <f>F11</f>
        <v>8</v>
      </c>
      <c r="G29" s="154">
        <f t="shared" si="2"/>
        <v>8</v>
      </c>
      <c r="H29" s="155">
        <f t="shared" si="3"/>
        <v>0.13333333333333333</v>
      </c>
    </row>
    <row r="30" spans="1:9" ht="15" x14ac:dyDescent="0.2">
      <c r="A30" s="173">
        <v>1</v>
      </c>
      <c r="B30" s="174" t="s">
        <v>205</v>
      </c>
      <c r="C30" s="173">
        <v>1</v>
      </c>
      <c r="D30" s="173">
        <f>D12</f>
        <v>5</v>
      </c>
      <c r="E30" s="175">
        <v>0.2</v>
      </c>
      <c r="F30" s="154">
        <f>F12</f>
        <v>12</v>
      </c>
      <c r="G30" s="154">
        <f t="shared" si="2"/>
        <v>12</v>
      </c>
      <c r="H30" s="155">
        <f t="shared" si="3"/>
        <v>0.16000000000000003</v>
      </c>
    </row>
    <row r="31" spans="1:9" ht="15" x14ac:dyDescent="0.2">
      <c r="A31" s="173">
        <v>2</v>
      </c>
      <c r="B31" s="174" t="s">
        <v>206</v>
      </c>
      <c r="C31" s="173">
        <v>2</v>
      </c>
      <c r="D31" s="173">
        <f>D13</f>
        <v>1</v>
      </c>
      <c r="E31" s="175"/>
      <c r="F31" s="154">
        <v>4</v>
      </c>
      <c r="G31" s="154">
        <f t="shared" si="2"/>
        <v>8</v>
      </c>
      <c r="H31" s="155">
        <f t="shared" si="3"/>
        <v>0.66666666666666663</v>
      </c>
    </row>
    <row r="32" spans="1:9" ht="15" x14ac:dyDescent="0.2">
      <c r="A32" s="173">
        <v>4</v>
      </c>
      <c r="B32" s="174" t="s">
        <v>208</v>
      </c>
      <c r="C32" s="173">
        <v>2</v>
      </c>
      <c r="D32" s="173">
        <f>D15</f>
        <v>1</v>
      </c>
      <c r="E32" s="175">
        <v>0.2</v>
      </c>
      <c r="F32" s="154">
        <v>2.5</v>
      </c>
      <c r="G32" s="154">
        <f t="shared" si="2"/>
        <v>5</v>
      </c>
      <c r="H32" s="155">
        <f t="shared" si="3"/>
        <v>0.33333333333333331</v>
      </c>
    </row>
    <row r="33" spans="1:8" ht="15" x14ac:dyDescent="0.2">
      <c r="A33" s="173">
        <v>5</v>
      </c>
      <c r="B33" s="174" t="s">
        <v>209</v>
      </c>
      <c r="C33" s="173">
        <v>1</v>
      </c>
      <c r="D33" s="173">
        <f>D16</f>
        <v>5</v>
      </c>
      <c r="E33" s="175">
        <v>0.2</v>
      </c>
      <c r="F33" s="154">
        <f>F16</f>
        <v>13</v>
      </c>
      <c r="G33" s="154">
        <f t="shared" si="2"/>
        <v>13</v>
      </c>
      <c r="H33" s="155">
        <f t="shared" si="3"/>
        <v>0.17333333333333334</v>
      </c>
    </row>
    <row r="34" spans="1:8" ht="15" x14ac:dyDescent="0.2">
      <c r="A34" s="173">
        <v>6</v>
      </c>
      <c r="B34" s="174" t="s">
        <v>210</v>
      </c>
      <c r="C34" s="173">
        <v>1</v>
      </c>
      <c r="D34" s="173">
        <f>D17</f>
        <v>5</v>
      </c>
      <c r="E34" s="175">
        <v>0.2</v>
      </c>
      <c r="F34" s="154">
        <f>F17</f>
        <v>100</v>
      </c>
      <c r="G34" s="154">
        <f t="shared" si="2"/>
        <v>100</v>
      </c>
      <c r="H34" s="155">
        <f t="shared" si="3"/>
        <v>1.3333333333333333</v>
      </c>
    </row>
    <row r="35" spans="1:8" ht="14.25" x14ac:dyDescent="0.2">
      <c r="A35" s="475" t="s">
        <v>213</v>
      </c>
      <c r="B35" s="476"/>
      <c r="C35" s="476"/>
      <c r="D35" s="476"/>
      <c r="E35" s="476"/>
      <c r="F35" s="477"/>
      <c r="G35" s="181">
        <f>SUM(G26:G34)</f>
        <v>165.5</v>
      </c>
      <c r="H35" s="182">
        <f>SUM(H26:H34)</f>
        <v>3.0599999999999996</v>
      </c>
    </row>
    <row r="36" spans="1:8" ht="14.25" x14ac:dyDescent="0.2">
      <c r="A36" s="183" t="s">
        <v>214</v>
      </c>
      <c r="B36" s="184"/>
      <c r="C36" s="184"/>
      <c r="D36" s="184"/>
      <c r="E36" s="184"/>
      <c r="F36" s="185"/>
      <c r="G36" s="180"/>
      <c r="H36" s="182">
        <f>H35/2</f>
        <v>1.5299999999999998</v>
      </c>
    </row>
  </sheetData>
  <mergeCells count="7">
    <mergeCell ref="A35:F35"/>
    <mergeCell ref="A4:H4"/>
    <mergeCell ref="A1:H1"/>
    <mergeCell ref="A2:H2"/>
    <mergeCell ref="A3:H3"/>
    <mergeCell ref="A20:F20"/>
    <mergeCell ref="A23:H23"/>
  </mergeCells>
  <printOptions horizontalCentered="1" verticalCentered="1"/>
  <pageMargins left="0.19685039370078741" right="0.19685039370078741" top="0.19685039370078741" bottom="0.19685039370078741" header="0.31496062992125984" footer="0.31496062992125984"/>
  <pageSetup paperSize="9" scale="91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41D27-FB72-461B-A289-E6E80CC09ABA}">
  <dimension ref="A1:IV7"/>
  <sheetViews>
    <sheetView view="pageBreakPreview" topLeftCell="C1" zoomScaleNormal="100" zoomScaleSheetLayoutView="100" workbookViewId="0">
      <selection activeCell="G16" sqref="G16:G32"/>
    </sheetView>
  </sheetViews>
  <sheetFormatPr defaultRowHeight="12.75" x14ac:dyDescent="0.2"/>
  <cols>
    <col min="1" max="1" width="7" style="157" bestFit="1" customWidth="1"/>
    <col min="2" max="2" width="26.42578125" style="157" customWidth="1"/>
    <col min="3" max="5" width="12.85546875" style="157" customWidth="1"/>
    <col min="6" max="6" width="16.7109375" style="157" bestFit="1" customWidth="1"/>
    <col min="7" max="7" width="19.7109375" style="157" customWidth="1"/>
    <col min="8" max="8" width="15.42578125" style="157" customWidth="1"/>
    <col min="9" max="9" width="15.42578125" style="157" bestFit="1" customWidth="1"/>
    <col min="10" max="10" width="12.5703125" style="157" bestFit="1" customWidth="1"/>
    <col min="11" max="16384" width="9.140625" style="157"/>
  </cols>
  <sheetData>
    <row r="1" spans="1:256" ht="15" x14ac:dyDescent="0.2">
      <c r="A1" s="478" t="s">
        <v>216</v>
      </c>
      <c r="B1" s="479"/>
      <c r="C1" s="479"/>
      <c r="D1" s="479"/>
      <c r="E1" s="479"/>
      <c r="F1" s="479"/>
      <c r="G1" s="479"/>
      <c r="H1" s="479"/>
      <c r="I1" s="480"/>
    </row>
    <row r="2" spans="1:256" ht="15" x14ac:dyDescent="0.2">
      <c r="A2" s="486" t="s">
        <v>194</v>
      </c>
      <c r="B2" s="487"/>
      <c r="C2" s="487"/>
      <c r="D2" s="487"/>
      <c r="E2" s="487"/>
      <c r="F2" s="487"/>
      <c r="G2" s="487"/>
      <c r="H2" s="487"/>
      <c r="I2" s="488"/>
    </row>
    <row r="3" spans="1:256" ht="16.5" x14ac:dyDescent="0.3">
      <c r="A3" s="489" t="s">
        <v>195</v>
      </c>
      <c r="B3" s="490"/>
      <c r="C3" s="490"/>
      <c r="D3" s="490"/>
      <c r="E3" s="490"/>
      <c r="F3" s="490"/>
      <c r="G3" s="490"/>
      <c r="H3" s="490"/>
      <c r="I3" s="491"/>
      <c r="J3" s="170"/>
      <c r="K3" s="170"/>
      <c r="L3" s="170"/>
      <c r="M3" s="170"/>
      <c r="N3" s="170"/>
      <c r="O3" s="171"/>
      <c r="P3" s="171"/>
      <c r="Q3" s="171"/>
      <c r="R3" s="171"/>
      <c r="S3" s="171"/>
      <c r="T3" s="171"/>
      <c r="U3" s="171"/>
      <c r="V3" s="171"/>
      <c r="W3" s="171"/>
      <c r="X3" s="171"/>
      <c r="Y3" s="171"/>
      <c r="Z3" s="171"/>
      <c r="AA3" s="171"/>
      <c r="AB3" s="171"/>
      <c r="AC3" s="171"/>
      <c r="AD3" s="171"/>
      <c r="AE3" s="171"/>
      <c r="AF3" s="171"/>
      <c r="AG3" s="171"/>
      <c r="AH3" s="171"/>
      <c r="AI3" s="171"/>
      <c r="AJ3" s="171"/>
      <c r="AK3" s="171"/>
      <c r="AL3" s="171"/>
      <c r="AM3" s="171"/>
      <c r="AN3" s="171"/>
      <c r="AO3" s="171"/>
      <c r="AP3" s="171"/>
      <c r="AQ3" s="171"/>
      <c r="AR3" s="171"/>
      <c r="AS3" s="171"/>
      <c r="AT3" s="171"/>
      <c r="AU3" s="171"/>
      <c r="AV3" s="171"/>
      <c r="AW3" s="171"/>
      <c r="AX3" s="171"/>
      <c r="AY3" s="171"/>
      <c r="AZ3" s="171"/>
      <c r="BA3" s="171"/>
      <c r="BB3" s="171"/>
      <c r="BC3" s="171"/>
      <c r="BD3" s="171"/>
      <c r="BE3" s="171"/>
      <c r="BF3" s="171"/>
      <c r="BG3" s="171"/>
      <c r="BH3" s="171"/>
      <c r="BI3" s="171"/>
      <c r="BJ3" s="171"/>
      <c r="BK3" s="171"/>
      <c r="BL3" s="171"/>
      <c r="BM3" s="171"/>
      <c r="BN3" s="171"/>
      <c r="BO3" s="171"/>
      <c r="BP3" s="171"/>
      <c r="BQ3" s="171"/>
      <c r="BR3" s="171"/>
      <c r="BS3" s="171"/>
      <c r="BT3" s="171"/>
      <c r="BU3" s="171"/>
      <c r="BV3" s="171"/>
      <c r="BW3" s="171"/>
      <c r="BX3" s="171"/>
      <c r="BY3" s="171"/>
      <c r="BZ3" s="171"/>
      <c r="CA3" s="171"/>
      <c r="CB3" s="171"/>
      <c r="CC3" s="171"/>
      <c r="CD3" s="171"/>
      <c r="CE3" s="171"/>
      <c r="CF3" s="171"/>
      <c r="CG3" s="171"/>
      <c r="CH3" s="171"/>
      <c r="CI3" s="171"/>
      <c r="CJ3" s="171"/>
      <c r="CK3" s="171"/>
      <c r="CL3" s="171"/>
      <c r="CM3" s="171"/>
      <c r="CN3" s="171"/>
      <c r="CO3" s="171"/>
      <c r="CP3" s="171"/>
      <c r="CQ3" s="171"/>
      <c r="CR3" s="171"/>
      <c r="CS3" s="171"/>
      <c r="CT3" s="171"/>
      <c r="CU3" s="171"/>
      <c r="CV3" s="171"/>
      <c r="CW3" s="171"/>
      <c r="CX3" s="171"/>
      <c r="CY3" s="171"/>
      <c r="CZ3" s="171"/>
      <c r="DA3" s="171"/>
      <c r="DB3" s="171"/>
      <c r="DC3" s="171"/>
      <c r="DD3" s="171"/>
      <c r="DE3" s="171"/>
      <c r="DF3" s="171"/>
      <c r="DG3" s="171"/>
      <c r="DH3" s="171"/>
      <c r="DI3" s="171"/>
      <c r="DJ3" s="171"/>
      <c r="DK3" s="171"/>
      <c r="DL3" s="171"/>
      <c r="DM3" s="171"/>
      <c r="DN3" s="171"/>
      <c r="DO3" s="171"/>
      <c r="DP3" s="171"/>
      <c r="DQ3" s="171"/>
      <c r="DR3" s="171"/>
      <c r="DS3" s="171"/>
      <c r="DT3" s="171"/>
      <c r="DU3" s="171"/>
      <c r="DV3" s="171"/>
      <c r="DW3" s="171"/>
      <c r="DX3" s="171"/>
      <c r="DY3" s="171"/>
      <c r="DZ3" s="171"/>
      <c r="EA3" s="171"/>
      <c r="EB3" s="171"/>
      <c r="EC3" s="171"/>
      <c r="ED3" s="171"/>
      <c r="EE3" s="171"/>
      <c r="EF3" s="171"/>
      <c r="EG3" s="171"/>
      <c r="EH3" s="171"/>
      <c r="EI3" s="171"/>
      <c r="EJ3" s="171"/>
      <c r="EK3" s="171"/>
      <c r="EL3" s="171"/>
      <c r="EM3" s="171"/>
      <c r="EN3" s="171"/>
      <c r="EO3" s="171"/>
      <c r="EP3" s="171"/>
      <c r="EQ3" s="171"/>
      <c r="ER3" s="171"/>
      <c r="ES3" s="171"/>
      <c r="ET3" s="171"/>
      <c r="EU3" s="171"/>
      <c r="EV3" s="171"/>
      <c r="EW3" s="171"/>
      <c r="EX3" s="171"/>
      <c r="EY3" s="171"/>
      <c r="EZ3" s="171"/>
      <c r="FA3" s="171"/>
      <c r="FB3" s="171"/>
      <c r="FC3" s="171"/>
      <c r="FD3" s="171"/>
      <c r="FE3" s="171"/>
      <c r="FF3" s="171"/>
      <c r="FG3" s="171"/>
      <c r="FH3" s="171"/>
      <c r="FI3" s="171"/>
      <c r="FJ3" s="171"/>
      <c r="FK3" s="171"/>
      <c r="FL3" s="171"/>
      <c r="FM3" s="171"/>
      <c r="FN3" s="171"/>
      <c r="FO3" s="171"/>
      <c r="FP3" s="171"/>
      <c r="FQ3" s="171"/>
      <c r="FR3" s="171"/>
      <c r="FS3" s="171"/>
      <c r="FT3" s="171"/>
      <c r="FU3" s="171"/>
      <c r="FV3" s="171"/>
      <c r="FW3" s="171"/>
      <c r="FX3" s="171"/>
      <c r="FY3" s="171"/>
      <c r="FZ3" s="171"/>
      <c r="GA3" s="171"/>
      <c r="GB3" s="171"/>
      <c r="GC3" s="171"/>
      <c r="GD3" s="171"/>
      <c r="GE3" s="171"/>
      <c r="GF3" s="171"/>
      <c r="GG3" s="171"/>
      <c r="GH3" s="171"/>
      <c r="GI3" s="171"/>
      <c r="GJ3" s="171"/>
      <c r="GK3" s="171"/>
      <c r="GL3" s="171"/>
      <c r="GM3" s="171"/>
      <c r="GN3" s="171"/>
      <c r="GO3" s="171"/>
      <c r="GP3" s="171"/>
      <c r="GQ3" s="171"/>
      <c r="GR3" s="171"/>
      <c r="GS3" s="171"/>
      <c r="GT3" s="171"/>
      <c r="GU3" s="171"/>
      <c r="GV3" s="171"/>
      <c r="GW3" s="171"/>
      <c r="GX3" s="171"/>
      <c r="GY3" s="171"/>
      <c r="GZ3" s="171"/>
      <c r="HA3" s="171"/>
      <c r="HB3" s="171"/>
      <c r="HC3" s="171"/>
      <c r="HD3" s="171"/>
      <c r="HE3" s="171"/>
      <c r="HF3" s="171"/>
      <c r="HG3" s="171"/>
      <c r="HH3" s="171"/>
      <c r="HI3" s="171"/>
      <c r="HJ3" s="171"/>
      <c r="HK3" s="171"/>
      <c r="HL3" s="171"/>
      <c r="HM3" s="171"/>
      <c r="HN3" s="171"/>
      <c r="HO3" s="171"/>
      <c r="HP3" s="171"/>
      <c r="HQ3" s="171"/>
      <c r="HR3" s="171"/>
      <c r="HS3" s="171"/>
      <c r="HT3" s="171"/>
      <c r="HU3" s="171"/>
      <c r="HV3" s="171"/>
      <c r="HW3" s="171"/>
      <c r="HX3" s="171"/>
      <c r="HY3" s="171"/>
      <c r="HZ3" s="171"/>
      <c r="IA3" s="171"/>
      <c r="IB3" s="171"/>
      <c r="IC3" s="171"/>
      <c r="ID3" s="171"/>
      <c r="IE3" s="171"/>
      <c r="IF3" s="171"/>
      <c r="IG3" s="171"/>
      <c r="IH3" s="171"/>
      <c r="II3" s="171"/>
      <c r="IJ3" s="171"/>
      <c r="IK3" s="171"/>
      <c r="IL3" s="171"/>
      <c r="IM3" s="171"/>
      <c r="IN3" s="171"/>
      <c r="IO3" s="171"/>
      <c r="IP3" s="171"/>
      <c r="IQ3" s="171"/>
      <c r="IR3" s="171"/>
      <c r="IS3" s="171"/>
      <c r="IT3" s="171"/>
      <c r="IU3" s="171"/>
      <c r="IV3" s="171"/>
    </row>
    <row r="4" spans="1:256" ht="30" x14ac:dyDescent="0.2">
      <c r="A4" s="172" t="s">
        <v>112</v>
      </c>
      <c r="B4" s="172" t="s">
        <v>118</v>
      </c>
      <c r="C4" s="172" t="s">
        <v>196</v>
      </c>
      <c r="D4" s="172" t="s">
        <v>197</v>
      </c>
      <c r="E4" s="172" t="s">
        <v>119</v>
      </c>
      <c r="F4" s="172" t="s">
        <v>113</v>
      </c>
      <c r="G4" s="172" t="s">
        <v>198</v>
      </c>
      <c r="H4" s="172" t="s">
        <v>217</v>
      </c>
      <c r="I4" s="172" t="s">
        <v>114</v>
      </c>
    </row>
    <row r="5" spans="1:256" ht="15" x14ac:dyDescent="0.2">
      <c r="A5" s="173">
        <v>1</v>
      </c>
      <c r="B5" s="174" t="s">
        <v>218</v>
      </c>
      <c r="C5" s="173">
        <v>2</v>
      </c>
      <c r="D5" s="173">
        <v>5</v>
      </c>
      <c r="E5" s="175">
        <v>0.2</v>
      </c>
      <c r="F5" s="154">
        <v>2000</v>
      </c>
      <c r="G5" s="154">
        <f>F5*C5</f>
        <v>4000</v>
      </c>
      <c r="H5" s="155">
        <f>G5/60</f>
        <v>66.666666666666671</v>
      </c>
      <c r="I5" s="155">
        <f>(F5*C5)*(100%-E5)/(D5*12)</f>
        <v>53.333333333333336</v>
      </c>
    </row>
    <row r="6" spans="1:256" ht="14.25" x14ac:dyDescent="0.2">
      <c r="A6" s="475" t="s">
        <v>213</v>
      </c>
      <c r="B6" s="476"/>
      <c r="C6" s="476"/>
      <c r="D6" s="476"/>
      <c r="E6" s="476"/>
      <c r="F6" s="477"/>
      <c r="G6" s="181">
        <f>SUM(G5)</f>
        <v>4000</v>
      </c>
      <c r="H6" s="182">
        <f>SUM(H5)</f>
        <v>66.666666666666671</v>
      </c>
      <c r="I6" s="182">
        <f>SUM(I5)</f>
        <v>53.333333333333336</v>
      </c>
    </row>
    <row r="7" spans="1:256" ht="14.25" x14ac:dyDescent="0.2">
      <c r="A7" s="475" t="s">
        <v>219</v>
      </c>
      <c r="B7" s="476"/>
      <c r="C7" s="476"/>
      <c r="D7" s="476"/>
      <c r="E7" s="476"/>
      <c r="F7" s="477"/>
      <c r="G7" s="492"/>
      <c r="H7" s="493"/>
      <c r="I7" s="182">
        <f>I6/52</f>
        <v>1.0256410256410258</v>
      </c>
    </row>
  </sheetData>
  <mergeCells count="6">
    <mergeCell ref="A1:I1"/>
    <mergeCell ref="A2:I2"/>
    <mergeCell ref="A3:I3"/>
    <mergeCell ref="A6:F6"/>
    <mergeCell ref="A7:F7"/>
    <mergeCell ref="G7:H7"/>
  </mergeCells>
  <printOptions horizontalCentered="1" verticalCentered="1"/>
  <pageMargins left="0.19685039370078741" right="0.19685039370078741" top="0.19685039370078741" bottom="0.19685039370078741" header="0.31496062992125984" footer="0.31496062992125984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E8F78F-9D14-4BFC-A126-62A8B2CB916C}">
  <sheetPr>
    <tabColor theme="0" tint="-0.14999847407452621"/>
    <pageSetUpPr fitToPage="1"/>
  </sheetPr>
  <dimension ref="A1:T60"/>
  <sheetViews>
    <sheetView topLeftCell="A97" zoomScaleNormal="100" zoomScaleSheetLayoutView="90" workbookViewId="0">
      <selection activeCell="H17" sqref="H17"/>
    </sheetView>
  </sheetViews>
  <sheetFormatPr defaultRowHeight="12.75" x14ac:dyDescent="0.2"/>
  <cols>
    <col min="1" max="1" width="11.5703125" style="129" customWidth="1"/>
    <col min="2" max="2" width="15.28515625" customWidth="1"/>
    <col min="3" max="3" width="15.7109375" customWidth="1"/>
    <col min="4" max="4" width="3.5703125" customWidth="1"/>
    <col min="5" max="5" width="16.28515625" customWidth="1"/>
    <col min="6" max="6" width="14.42578125" customWidth="1"/>
    <col min="7" max="7" width="15.140625" customWidth="1"/>
    <col min="8" max="8" width="17.7109375" customWidth="1"/>
    <col min="9" max="9" width="15.28515625" style="85" bestFit="1" customWidth="1"/>
    <col min="10" max="10" width="18.140625" bestFit="1" customWidth="1"/>
    <col min="11" max="11" width="16.42578125" style="85" bestFit="1" customWidth="1"/>
    <col min="12" max="12" width="20.140625" customWidth="1"/>
  </cols>
  <sheetData>
    <row r="1" spans="1:14" ht="15.75" x14ac:dyDescent="0.25">
      <c r="A1" s="494" t="s">
        <v>60</v>
      </c>
      <c r="B1" s="111">
        <v>43221</v>
      </c>
      <c r="C1" s="126" t="s">
        <v>142</v>
      </c>
      <c r="D1" s="14"/>
      <c r="E1" s="496" t="s">
        <v>143</v>
      </c>
      <c r="F1" s="496"/>
      <c r="G1" s="496"/>
      <c r="H1" s="496"/>
      <c r="I1" s="496"/>
      <c r="J1" s="496"/>
      <c r="K1" s="496"/>
      <c r="L1" s="496"/>
      <c r="M1" s="14"/>
      <c r="N1" s="14"/>
    </row>
    <row r="2" spans="1:14" ht="38.25" x14ac:dyDescent="0.2">
      <c r="A2" s="494"/>
      <c r="B2" s="111">
        <v>43252</v>
      </c>
      <c r="C2" s="126" t="s">
        <v>139</v>
      </c>
      <c r="D2" s="14"/>
      <c r="E2" s="117" t="s">
        <v>131</v>
      </c>
      <c r="F2" s="118" t="s">
        <v>132</v>
      </c>
      <c r="G2" s="118" t="s">
        <v>133</v>
      </c>
      <c r="H2" s="118" t="s">
        <v>134</v>
      </c>
      <c r="I2" s="118" t="s">
        <v>135</v>
      </c>
      <c r="J2" s="117" t="s">
        <v>136</v>
      </c>
      <c r="K2" s="118" t="s">
        <v>137</v>
      </c>
      <c r="L2" s="118" t="s">
        <v>138</v>
      </c>
      <c r="M2" s="14"/>
      <c r="N2" s="14"/>
    </row>
    <row r="3" spans="1:14" ht="12.75" customHeight="1" x14ac:dyDescent="0.2">
      <c r="A3" s="494"/>
      <c r="B3" s="111">
        <v>43282</v>
      </c>
      <c r="C3" s="126" t="s">
        <v>139</v>
      </c>
      <c r="D3" s="14"/>
      <c r="E3" s="319" t="s">
        <v>148</v>
      </c>
      <c r="F3" s="497" t="s">
        <v>151</v>
      </c>
      <c r="G3" s="500" t="s">
        <v>149</v>
      </c>
      <c r="H3" s="111">
        <v>43466</v>
      </c>
      <c r="I3" s="112" t="s">
        <v>139</v>
      </c>
      <c r="J3" s="113">
        <v>144127.6</v>
      </c>
      <c r="K3" s="113">
        <v>157214.96</v>
      </c>
      <c r="L3" s="119">
        <v>13087.359999999986</v>
      </c>
      <c r="M3" s="14"/>
      <c r="N3" s="14"/>
    </row>
    <row r="4" spans="1:14" x14ac:dyDescent="0.2">
      <c r="A4" s="494"/>
      <c r="B4" s="111">
        <v>43313</v>
      </c>
      <c r="C4" s="126" t="s">
        <v>139</v>
      </c>
      <c r="D4" s="14"/>
      <c r="E4" s="320"/>
      <c r="F4" s="498"/>
      <c r="G4" s="501"/>
      <c r="H4" s="111">
        <v>43497</v>
      </c>
      <c r="I4" s="112" t="s">
        <v>139</v>
      </c>
      <c r="J4" s="113">
        <v>215776.92</v>
      </c>
      <c r="K4" s="113">
        <v>235986.19</v>
      </c>
      <c r="L4" s="119">
        <v>20209.26999999999</v>
      </c>
      <c r="M4" s="14"/>
      <c r="N4" s="14"/>
    </row>
    <row r="5" spans="1:14" x14ac:dyDescent="0.2">
      <c r="A5" s="494"/>
      <c r="B5" s="111">
        <v>43344</v>
      </c>
      <c r="C5" s="126" t="s">
        <v>139</v>
      </c>
      <c r="D5" s="14"/>
      <c r="E5" s="320"/>
      <c r="F5" s="498"/>
      <c r="G5" s="501"/>
      <c r="H5" s="111">
        <v>43525</v>
      </c>
      <c r="I5" s="112" t="s">
        <v>139</v>
      </c>
      <c r="J5" s="113">
        <v>215776.92</v>
      </c>
      <c r="K5" s="113">
        <v>235986.19</v>
      </c>
      <c r="L5" s="119">
        <v>20209.26999999999</v>
      </c>
      <c r="M5" s="14"/>
      <c r="N5" s="14"/>
    </row>
    <row r="6" spans="1:14" x14ac:dyDescent="0.2">
      <c r="A6" s="494"/>
      <c r="B6" s="111">
        <v>43374</v>
      </c>
      <c r="C6" s="126" t="s">
        <v>139</v>
      </c>
      <c r="D6" s="14"/>
      <c r="E6" s="320"/>
      <c r="F6" s="498"/>
      <c r="G6" s="501"/>
      <c r="H6" s="111">
        <v>43556</v>
      </c>
      <c r="I6" s="112" t="s">
        <v>139</v>
      </c>
      <c r="J6" s="113">
        <v>215618.19</v>
      </c>
      <c r="K6" s="113">
        <v>235827.46</v>
      </c>
      <c r="L6" s="119">
        <v>20209.26999999999</v>
      </c>
      <c r="M6" s="14"/>
      <c r="N6" s="14"/>
    </row>
    <row r="7" spans="1:14" x14ac:dyDescent="0.2">
      <c r="A7" s="494"/>
      <c r="B7" s="111">
        <v>43405</v>
      </c>
      <c r="C7" s="126" t="s">
        <v>139</v>
      </c>
      <c r="D7" s="14"/>
      <c r="E7" s="320"/>
      <c r="F7" s="499"/>
      <c r="G7" s="502"/>
      <c r="H7" s="111">
        <v>43586</v>
      </c>
      <c r="I7" s="112" t="s">
        <v>150</v>
      </c>
      <c r="J7" s="113">
        <v>215618.19</v>
      </c>
      <c r="K7" s="113">
        <v>235827.46</v>
      </c>
      <c r="L7" s="119">
        <v>20209.26999999999</v>
      </c>
      <c r="M7" s="14"/>
      <c r="N7" s="14"/>
    </row>
    <row r="8" spans="1:14" x14ac:dyDescent="0.2">
      <c r="A8" s="494"/>
      <c r="B8" s="111">
        <v>43435</v>
      </c>
      <c r="C8" s="126" t="s">
        <v>139</v>
      </c>
      <c r="D8" s="14"/>
      <c r="E8" s="320"/>
      <c r="F8" s="497" t="s">
        <v>152</v>
      </c>
      <c r="G8" s="500" t="s">
        <v>154</v>
      </c>
      <c r="H8" s="111">
        <v>43586</v>
      </c>
      <c r="I8" s="112" t="s">
        <v>156</v>
      </c>
      <c r="J8" s="113">
        <v>215454.44</v>
      </c>
      <c r="K8" s="113">
        <v>235663.71</v>
      </c>
      <c r="L8" s="119">
        <v>20209.26999999999</v>
      </c>
      <c r="M8" s="14"/>
      <c r="N8" s="14"/>
    </row>
    <row r="9" spans="1:14" x14ac:dyDescent="0.2">
      <c r="A9" s="494"/>
      <c r="B9" s="111">
        <v>43466</v>
      </c>
      <c r="C9" s="126" t="s">
        <v>139</v>
      </c>
      <c r="D9" s="14"/>
      <c r="E9" s="320"/>
      <c r="F9" s="498"/>
      <c r="G9" s="501"/>
      <c r="H9" s="111">
        <v>43617</v>
      </c>
      <c r="I9" s="112" t="s">
        <v>139</v>
      </c>
      <c r="J9" s="113">
        <v>215454.44</v>
      </c>
      <c r="K9" s="113">
        <v>235663.71</v>
      </c>
      <c r="L9" s="119">
        <v>20209.26999999999</v>
      </c>
      <c r="M9" s="14"/>
      <c r="N9" s="14"/>
    </row>
    <row r="10" spans="1:14" x14ac:dyDescent="0.2">
      <c r="A10" s="494"/>
      <c r="B10" s="111">
        <v>43497</v>
      </c>
      <c r="C10" s="126" t="s">
        <v>139</v>
      </c>
      <c r="D10" s="14"/>
      <c r="E10" s="320"/>
      <c r="F10" s="498"/>
      <c r="G10" s="501"/>
      <c r="H10" s="111">
        <v>43647</v>
      </c>
      <c r="I10" s="112" t="s">
        <v>139</v>
      </c>
      <c r="J10" s="113">
        <v>215454.44</v>
      </c>
      <c r="K10" s="113">
        <v>235663.71</v>
      </c>
      <c r="L10" s="119">
        <v>20209.26999999999</v>
      </c>
      <c r="M10" s="14"/>
      <c r="N10" s="14"/>
    </row>
    <row r="11" spans="1:14" x14ac:dyDescent="0.2">
      <c r="A11" s="494"/>
      <c r="B11" s="111"/>
      <c r="C11" s="126"/>
      <c r="D11" s="14"/>
      <c r="E11" s="320"/>
      <c r="F11" s="498"/>
      <c r="G11" s="501"/>
      <c r="H11" s="111">
        <v>43678</v>
      </c>
      <c r="I11" s="112" t="s">
        <v>139</v>
      </c>
      <c r="J11" s="113"/>
      <c r="K11" s="113"/>
      <c r="L11" s="119"/>
      <c r="M11" s="14"/>
      <c r="N11" s="14"/>
    </row>
    <row r="12" spans="1:14" x14ac:dyDescent="0.2">
      <c r="A12" s="494"/>
      <c r="B12" s="111"/>
      <c r="C12" s="126"/>
      <c r="D12" s="14"/>
      <c r="E12" s="320"/>
      <c r="F12" s="498"/>
      <c r="G12" s="501"/>
      <c r="H12" s="111">
        <v>43709</v>
      </c>
      <c r="I12" s="112" t="s">
        <v>139</v>
      </c>
      <c r="J12" s="113"/>
      <c r="K12" s="113"/>
      <c r="L12" s="119"/>
      <c r="M12" s="14"/>
      <c r="N12" s="14"/>
    </row>
    <row r="13" spans="1:14" x14ac:dyDescent="0.2">
      <c r="A13" s="494"/>
      <c r="B13" s="111"/>
      <c r="C13" s="126"/>
      <c r="D13" s="14"/>
      <c r="E13" s="320"/>
      <c r="F13" s="498"/>
      <c r="G13" s="501"/>
      <c r="H13" s="111">
        <v>43739</v>
      </c>
      <c r="I13" s="112" t="s">
        <v>139</v>
      </c>
      <c r="J13" s="113"/>
      <c r="K13" s="113"/>
      <c r="L13" s="119"/>
      <c r="M13" s="14"/>
      <c r="N13" s="14"/>
    </row>
    <row r="14" spans="1:14" x14ac:dyDescent="0.2">
      <c r="A14" s="494"/>
      <c r="B14" s="111"/>
      <c r="C14" s="126"/>
      <c r="D14" s="14"/>
      <c r="E14" s="320"/>
      <c r="F14" s="498"/>
      <c r="G14" s="501"/>
      <c r="H14" s="111">
        <v>43770</v>
      </c>
      <c r="I14" s="112" t="s">
        <v>139</v>
      </c>
      <c r="J14" s="113"/>
      <c r="K14" s="113"/>
      <c r="L14" s="119"/>
      <c r="M14" s="14"/>
      <c r="N14" s="14"/>
    </row>
    <row r="15" spans="1:14" x14ac:dyDescent="0.2">
      <c r="A15" s="494"/>
      <c r="B15" s="111"/>
      <c r="C15" s="126"/>
      <c r="D15" s="14"/>
      <c r="E15" s="320"/>
      <c r="F15" s="498"/>
      <c r="G15" s="502"/>
      <c r="H15" s="111">
        <v>43800</v>
      </c>
      <c r="I15" s="112" t="s">
        <v>139</v>
      </c>
      <c r="J15" s="113"/>
      <c r="K15" s="113"/>
      <c r="L15" s="119"/>
      <c r="M15" s="14"/>
      <c r="N15" s="14"/>
    </row>
    <row r="16" spans="1:14" x14ac:dyDescent="0.2">
      <c r="A16" s="494"/>
      <c r="B16" s="111"/>
      <c r="C16" s="126"/>
      <c r="D16" s="14"/>
      <c r="E16" s="320"/>
      <c r="F16" s="498"/>
      <c r="G16" s="500" t="s">
        <v>155</v>
      </c>
      <c r="H16" s="111">
        <v>43831</v>
      </c>
      <c r="I16" s="112" t="s">
        <v>139</v>
      </c>
      <c r="J16" s="113"/>
      <c r="K16" s="113"/>
      <c r="L16" s="119"/>
      <c r="M16" s="14"/>
      <c r="N16" s="14"/>
    </row>
    <row r="17" spans="1:14" x14ac:dyDescent="0.2">
      <c r="A17" s="494"/>
      <c r="B17" s="111"/>
      <c r="C17" s="126"/>
      <c r="D17" s="14"/>
      <c r="E17" s="320"/>
      <c r="F17" s="498"/>
      <c r="G17" s="501"/>
      <c r="H17" s="111">
        <v>43862</v>
      </c>
      <c r="I17" s="112" t="s">
        <v>139</v>
      </c>
      <c r="J17" s="113"/>
      <c r="K17" s="113"/>
      <c r="L17" s="119"/>
      <c r="M17" s="14"/>
      <c r="N17" s="14"/>
    </row>
    <row r="18" spans="1:14" x14ac:dyDescent="0.2">
      <c r="A18" s="494"/>
      <c r="B18" s="111"/>
      <c r="C18" s="126"/>
      <c r="D18" s="14"/>
      <c r="E18" s="320"/>
      <c r="F18" s="498"/>
      <c r="G18" s="501"/>
      <c r="H18" s="111">
        <v>43891</v>
      </c>
      <c r="I18" s="112" t="s">
        <v>139</v>
      </c>
      <c r="J18" s="113"/>
      <c r="K18" s="113"/>
      <c r="L18" s="119"/>
      <c r="M18" s="14"/>
      <c r="N18" s="14"/>
    </row>
    <row r="19" spans="1:14" x14ac:dyDescent="0.2">
      <c r="A19" s="494"/>
      <c r="B19" s="111"/>
      <c r="C19" s="126"/>
      <c r="D19" s="14"/>
      <c r="E19" s="320"/>
      <c r="F19" s="498"/>
      <c r="G19" s="501"/>
      <c r="H19" s="111">
        <v>43922</v>
      </c>
      <c r="I19" s="112" t="s">
        <v>139</v>
      </c>
      <c r="J19" s="113"/>
      <c r="K19" s="113"/>
      <c r="L19" s="119"/>
      <c r="M19" s="14"/>
      <c r="N19" s="14"/>
    </row>
    <row r="20" spans="1:14" x14ac:dyDescent="0.2">
      <c r="A20" s="494"/>
      <c r="B20" s="111"/>
      <c r="C20" s="126"/>
      <c r="D20" s="14"/>
      <c r="E20" s="320"/>
      <c r="F20" s="497" t="s">
        <v>153</v>
      </c>
      <c r="G20" s="501"/>
      <c r="H20" s="111">
        <v>43952</v>
      </c>
      <c r="I20" s="112" t="s">
        <v>139</v>
      </c>
      <c r="J20" s="113"/>
      <c r="K20" s="113"/>
      <c r="L20" s="119"/>
      <c r="M20" s="14"/>
      <c r="N20" s="14"/>
    </row>
    <row r="21" spans="1:14" x14ac:dyDescent="0.2">
      <c r="A21" s="494"/>
      <c r="B21" s="111"/>
      <c r="C21" s="126"/>
      <c r="D21" s="14"/>
      <c r="E21" s="320"/>
      <c r="F21" s="498"/>
      <c r="G21" s="501"/>
      <c r="H21" s="111">
        <v>43983</v>
      </c>
      <c r="I21" s="112" t="s">
        <v>139</v>
      </c>
      <c r="J21" s="113"/>
      <c r="K21" s="113"/>
      <c r="L21" s="119"/>
      <c r="M21" s="14"/>
      <c r="N21" s="14"/>
    </row>
    <row r="22" spans="1:14" x14ac:dyDescent="0.2">
      <c r="A22" s="494"/>
      <c r="B22" s="111"/>
      <c r="C22" s="126"/>
      <c r="D22" s="14"/>
      <c r="E22" s="320"/>
      <c r="F22" s="498"/>
      <c r="G22" s="501"/>
      <c r="H22" s="111">
        <v>44013</v>
      </c>
      <c r="I22" s="112" t="s">
        <v>139</v>
      </c>
      <c r="J22" s="113"/>
      <c r="K22" s="113"/>
      <c r="L22" s="119"/>
      <c r="M22" s="14"/>
      <c r="N22" s="14"/>
    </row>
    <row r="23" spans="1:14" x14ac:dyDescent="0.2">
      <c r="A23" s="494"/>
      <c r="B23" s="111"/>
      <c r="C23" s="126"/>
      <c r="D23" s="14"/>
      <c r="E23" s="320"/>
      <c r="F23" s="498"/>
      <c r="G23" s="501"/>
      <c r="H23" s="111">
        <v>44044</v>
      </c>
      <c r="I23" s="112" t="s">
        <v>139</v>
      </c>
      <c r="J23" s="113"/>
      <c r="K23" s="113"/>
      <c r="L23" s="119"/>
      <c r="M23" s="14"/>
      <c r="N23" s="14"/>
    </row>
    <row r="24" spans="1:14" x14ac:dyDescent="0.2">
      <c r="A24" s="494"/>
      <c r="B24" s="111"/>
      <c r="C24" s="126"/>
      <c r="D24" s="14"/>
      <c r="E24" s="320"/>
      <c r="F24" s="498"/>
      <c r="G24" s="501"/>
      <c r="H24" s="111">
        <v>44075</v>
      </c>
      <c r="I24" s="112" t="s">
        <v>139</v>
      </c>
      <c r="J24" s="113"/>
      <c r="K24" s="113"/>
      <c r="L24" s="119"/>
      <c r="M24" s="14"/>
      <c r="N24" s="14"/>
    </row>
    <row r="25" spans="1:14" x14ac:dyDescent="0.2">
      <c r="A25" s="494"/>
      <c r="B25" s="111"/>
      <c r="C25" s="126"/>
      <c r="D25" s="14"/>
      <c r="E25" s="320"/>
      <c r="F25" s="498"/>
      <c r="G25" s="501"/>
      <c r="H25" s="111">
        <v>44105</v>
      </c>
      <c r="I25" s="112" t="s">
        <v>139</v>
      </c>
      <c r="J25" s="113"/>
      <c r="K25" s="113"/>
      <c r="L25" s="119"/>
      <c r="M25" s="14"/>
      <c r="N25" s="14"/>
    </row>
    <row r="26" spans="1:14" x14ac:dyDescent="0.2">
      <c r="A26" s="494"/>
      <c r="B26" s="111"/>
      <c r="C26" s="126"/>
      <c r="D26" s="14"/>
      <c r="E26" s="320"/>
      <c r="F26" s="498"/>
      <c r="G26" s="501"/>
      <c r="H26" s="111">
        <v>44136</v>
      </c>
      <c r="I26" s="112" t="s">
        <v>139</v>
      </c>
      <c r="J26" s="113"/>
      <c r="K26" s="113"/>
      <c r="L26" s="119"/>
      <c r="M26" s="14"/>
      <c r="N26" s="14"/>
    </row>
    <row r="27" spans="1:14" x14ac:dyDescent="0.2">
      <c r="A27" s="494"/>
      <c r="B27" s="111"/>
      <c r="C27" s="126"/>
      <c r="D27" s="14"/>
      <c r="E27" s="320"/>
      <c r="F27" s="498"/>
      <c r="G27" s="501"/>
      <c r="H27" s="111">
        <v>44166</v>
      </c>
      <c r="I27" s="112" t="s">
        <v>139</v>
      </c>
      <c r="J27" s="113"/>
      <c r="K27" s="113"/>
      <c r="L27" s="119"/>
      <c r="M27" s="14"/>
      <c r="N27" s="14"/>
    </row>
    <row r="28" spans="1:14" x14ac:dyDescent="0.2">
      <c r="A28" s="494"/>
      <c r="B28" s="111"/>
      <c r="C28" s="126"/>
      <c r="D28" s="14"/>
      <c r="E28" s="320"/>
      <c r="F28" s="498"/>
      <c r="G28" s="501"/>
      <c r="H28" s="111">
        <v>44197</v>
      </c>
      <c r="I28" s="112" t="s">
        <v>139</v>
      </c>
      <c r="J28" s="113"/>
      <c r="K28" s="113"/>
      <c r="L28" s="119"/>
      <c r="M28" s="14"/>
      <c r="N28" s="14"/>
    </row>
    <row r="29" spans="1:14" x14ac:dyDescent="0.2">
      <c r="A29" s="494"/>
      <c r="B29" s="111"/>
      <c r="C29" s="126"/>
      <c r="D29" s="14"/>
      <c r="E29" s="320"/>
      <c r="F29" s="498"/>
      <c r="G29" s="501"/>
      <c r="H29" s="111">
        <v>44228</v>
      </c>
      <c r="I29" s="112" t="s">
        <v>139</v>
      </c>
      <c r="J29" s="113"/>
      <c r="K29" s="113"/>
      <c r="L29" s="119"/>
      <c r="M29" s="14"/>
      <c r="N29" s="14"/>
    </row>
    <row r="30" spans="1:14" x14ac:dyDescent="0.2">
      <c r="A30" s="494"/>
      <c r="B30" s="111"/>
      <c r="C30" s="126"/>
      <c r="D30" s="14"/>
      <c r="E30" s="320"/>
      <c r="F30" s="498"/>
      <c r="G30" s="501"/>
      <c r="H30" s="111">
        <v>44256</v>
      </c>
      <c r="I30" s="112" t="s">
        <v>139</v>
      </c>
      <c r="J30" s="113"/>
      <c r="K30" s="113"/>
      <c r="L30" s="119"/>
      <c r="M30" s="14"/>
      <c r="N30" s="14"/>
    </row>
    <row r="31" spans="1:14" x14ac:dyDescent="0.2">
      <c r="A31" s="494"/>
      <c r="B31" s="111"/>
      <c r="C31" s="126"/>
      <c r="D31" s="14"/>
      <c r="E31" s="320"/>
      <c r="F31" s="498"/>
      <c r="G31" s="501"/>
      <c r="H31" s="111">
        <v>44287</v>
      </c>
      <c r="I31" s="112" t="s">
        <v>139</v>
      </c>
      <c r="J31" s="113"/>
      <c r="K31" s="113"/>
      <c r="L31" s="119"/>
      <c r="M31" s="14"/>
      <c r="N31" s="14"/>
    </row>
    <row r="32" spans="1:14" x14ac:dyDescent="0.2">
      <c r="A32" s="494"/>
      <c r="B32" s="111"/>
      <c r="C32" s="126"/>
      <c r="D32" s="14"/>
      <c r="E32" s="320"/>
      <c r="F32" s="499"/>
      <c r="G32" s="502"/>
      <c r="H32" s="111">
        <v>44317</v>
      </c>
      <c r="I32" s="112" t="s">
        <v>150</v>
      </c>
      <c r="J32" s="113"/>
      <c r="K32" s="113"/>
      <c r="L32" s="119"/>
      <c r="M32" s="14"/>
      <c r="N32" s="14"/>
    </row>
    <row r="33" spans="1:20" x14ac:dyDescent="0.2">
      <c r="A33" s="494"/>
      <c r="B33" s="111">
        <v>43525</v>
      </c>
      <c r="C33" s="126" t="s">
        <v>139</v>
      </c>
      <c r="D33" s="14"/>
      <c r="E33" s="495" t="s">
        <v>76</v>
      </c>
      <c r="F33" s="495"/>
      <c r="G33" s="495"/>
      <c r="H33" s="495"/>
      <c r="I33" s="495"/>
      <c r="J33" s="495"/>
      <c r="K33" s="495"/>
      <c r="L33" s="116">
        <v>154552.24999999991</v>
      </c>
      <c r="M33" s="14"/>
      <c r="N33" s="14"/>
    </row>
    <row r="34" spans="1:20" x14ac:dyDescent="0.2">
      <c r="A34" s="494"/>
      <c r="B34" s="111">
        <v>43556</v>
      </c>
      <c r="C34" s="126" t="s">
        <v>139</v>
      </c>
      <c r="D34" s="14"/>
      <c r="E34" s="114"/>
      <c r="F34" s="114"/>
      <c r="G34" s="114"/>
      <c r="H34" s="114"/>
      <c r="I34" s="114"/>
      <c r="J34" s="114"/>
      <c r="K34" s="114"/>
      <c r="L34" s="115"/>
      <c r="M34" s="14"/>
      <c r="N34" s="14"/>
    </row>
    <row r="35" spans="1:20" x14ac:dyDescent="0.2">
      <c r="A35" s="494"/>
      <c r="B35" s="111">
        <v>43586</v>
      </c>
      <c r="C35" s="126" t="s">
        <v>146</v>
      </c>
      <c r="D35" s="14"/>
      <c r="I35"/>
      <c r="K35"/>
      <c r="M35" s="14"/>
      <c r="N35" s="14"/>
    </row>
    <row r="36" spans="1:20" x14ac:dyDescent="0.2">
      <c r="A36" s="494" t="s">
        <v>144</v>
      </c>
      <c r="B36" s="111">
        <v>43586</v>
      </c>
      <c r="C36" s="126" t="s">
        <v>145</v>
      </c>
      <c r="D36" s="14"/>
      <c r="E36" s="314" t="s">
        <v>141</v>
      </c>
      <c r="F36" s="314"/>
      <c r="G36" s="314"/>
      <c r="H36" s="314"/>
      <c r="I36" s="314"/>
      <c r="J36" s="314"/>
      <c r="K36" s="314"/>
      <c r="L36" s="314"/>
      <c r="M36" s="14"/>
      <c r="N36" s="14"/>
    </row>
    <row r="37" spans="1:20" x14ac:dyDescent="0.2">
      <c r="A37" s="494"/>
      <c r="B37" s="111">
        <v>43617</v>
      </c>
      <c r="C37" s="126" t="s">
        <v>139</v>
      </c>
      <c r="E37" s="315" t="s">
        <v>140</v>
      </c>
      <c r="F37" s="315"/>
      <c r="G37" s="315"/>
      <c r="H37" s="315"/>
      <c r="I37" s="315"/>
      <c r="J37" s="315"/>
      <c r="K37" s="315"/>
      <c r="L37" s="315"/>
      <c r="M37" s="14"/>
      <c r="N37" s="14"/>
    </row>
    <row r="38" spans="1:20" x14ac:dyDescent="0.2">
      <c r="A38" s="494"/>
      <c r="B38" s="111">
        <v>43647</v>
      </c>
      <c r="C38" s="126" t="s">
        <v>139</v>
      </c>
      <c r="E38" s="85"/>
      <c r="G38" s="14"/>
      <c r="H38" s="14"/>
      <c r="I38" s="14"/>
      <c r="J38" s="14"/>
      <c r="K38" s="14"/>
      <c r="L38" s="14"/>
      <c r="M38" s="14"/>
      <c r="N38" s="14"/>
    </row>
    <row r="39" spans="1:20" x14ac:dyDescent="0.2">
      <c r="A39" s="494"/>
      <c r="B39" s="111">
        <v>43678</v>
      </c>
      <c r="C39" s="126" t="s">
        <v>139</v>
      </c>
      <c r="E39" s="85"/>
      <c r="G39" s="14"/>
      <c r="H39" s="14"/>
      <c r="I39" s="14"/>
      <c r="J39" s="14"/>
      <c r="K39" s="14"/>
      <c r="L39" s="14"/>
      <c r="M39" s="14"/>
      <c r="N39" s="14"/>
    </row>
    <row r="40" spans="1:20" x14ac:dyDescent="0.2">
      <c r="A40" s="494"/>
      <c r="B40" s="111">
        <v>43709</v>
      </c>
      <c r="C40" s="126" t="s">
        <v>139</v>
      </c>
      <c r="E40" s="85"/>
      <c r="G40" s="14"/>
      <c r="H40" s="14"/>
      <c r="I40" s="14"/>
      <c r="J40" s="14"/>
      <c r="K40" s="14"/>
      <c r="L40" s="14"/>
      <c r="M40" s="14"/>
      <c r="N40" s="14"/>
    </row>
    <row r="41" spans="1:20" x14ac:dyDescent="0.2">
      <c r="A41" s="494"/>
      <c r="B41" s="111">
        <v>43739</v>
      </c>
      <c r="C41" s="126" t="s">
        <v>139</v>
      </c>
      <c r="E41" s="85"/>
      <c r="G41" s="14"/>
      <c r="H41" s="14"/>
      <c r="I41" s="14"/>
      <c r="J41" s="14"/>
      <c r="K41" s="14"/>
      <c r="L41" s="14"/>
      <c r="M41" s="14"/>
      <c r="N41" s="14"/>
    </row>
    <row r="42" spans="1:20" x14ac:dyDescent="0.2">
      <c r="A42" s="494"/>
      <c r="B42" s="111">
        <v>43770</v>
      </c>
      <c r="C42" s="126" t="s">
        <v>139</v>
      </c>
      <c r="E42" s="85"/>
      <c r="G42" s="14"/>
      <c r="H42" s="14"/>
      <c r="I42" s="14"/>
      <c r="J42" s="14"/>
      <c r="K42" s="14"/>
      <c r="L42" s="14"/>
      <c r="M42" s="14"/>
      <c r="N42" s="14"/>
    </row>
    <row r="43" spans="1:20" x14ac:dyDescent="0.2">
      <c r="A43" s="494"/>
      <c r="B43" s="111">
        <v>43800</v>
      </c>
      <c r="C43" s="126" t="s">
        <v>139</v>
      </c>
      <c r="E43" s="85"/>
      <c r="G43" s="14"/>
      <c r="H43" s="14"/>
      <c r="I43" s="14"/>
      <c r="J43" s="14"/>
      <c r="K43" s="14"/>
      <c r="L43" s="14"/>
      <c r="M43" s="14"/>
      <c r="N43" s="14"/>
    </row>
    <row r="44" spans="1:20" x14ac:dyDescent="0.2">
      <c r="A44" s="128"/>
      <c r="B44" s="14"/>
      <c r="C44" s="14"/>
      <c r="D44" s="14"/>
      <c r="E44" s="14"/>
      <c r="F44" s="14"/>
      <c r="G44" s="14"/>
      <c r="H44" s="14"/>
      <c r="I44" s="124"/>
      <c r="M44" s="14"/>
      <c r="N44" s="14"/>
      <c r="O44" s="14"/>
      <c r="P44" s="14"/>
      <c r="Q44" s="14"/>
      <c r="R44" s="14"/>
      <c r="S44" s="14"/>
      <c r="T44" s="14"/>
    </row>
    <row r="48" spans="1:20" ht="12.75" customHeight="1" x14ac:dyDescent="0.2"/>
    <row r="55" spans="1:20" s="85" customFormat="1" x14ac:dyDescent="0.2">
      <c r="A55" s="130"/>
      <c r="J55"/>
      <c r="L55"/>
      <c r="M55"/>
      <c r="N55"/>
      <c r="O55"/>
      <c r="P55"/>
      <c r="Q55"/>
      <c r="R55"/>
      <c r="S55"/>
      <c r="T55"/>
    </row>
    <row r="56" spans="1:20" s="85" customFormat="1" x14ac:dyDescent="0.2">
      <c r="A56" s="130"/>
      <c r="J56"/>
      <c r="L56"/>
      <c r="M56"/>
      <c r="N56"/>
      <c r="O56"/>
      <c r="P56"/>
      <c r="Q56"/>
      <c r="R56"/>
      <c r="S56"/>
      <c r="T56"/>
    </row>
    <row r="57" spans="1:20" s="85" customFormat="1" x14ac:dyDescent="0.2">
      <c r="A57" s="130"/>
      <c r="J57"/>
      <c r="L57"/>
      <c r="M57"/>
      <c r="N57"/>
      <c r="O57"/>
      <c r="P57"/>
      <c r="Q57"/>
      <c r="R57"/>
      <c r="S57"/>
      <c r="T57"/>
    </row>
    <row r="59" spans="1:20" s="85" customFormat="1" x14ac:dyDescent="0.2">
      <c r="A59" s="130"/>
      <c r="J59"/>
      <c r="L59"/>
      <c r="M59"/>
      <c r="N59"/>
      <c r="O59"/>
      <c r="P59"/>
      <c r="Q59"/>
      <c r="R59"/>
      <c r="S59"/>
      <c r="T59"/>
    </row>
    <row r="60" spans="1:20" s="85" customFormat="1" x14ac:dyDescent="0.2">
      <c r="A60" s="130"/>
      <c r="J60"/>
      <c r="L60"/>
      <c r="M60"/>
      <c r="N60"/>
      <c r="O60"/>
      <c r="P60"/>
      <c r="Q60"/>
      <c r="R60"/>
      <c r="S60"/>
      <c r="T60"/>
    </row>
  </sheetData>
  <mergeCells count="13">
    <mergeCell ref="A36:A43"/>
    <mergeCell ref="A1:A35"/>
    <mergeCell ref="E33:K33"/>
    <mergeCell ref="E36:L36"/>
    <mergeCell ref="E37:L37"/>
    <mergeCell ref="E1:L1"/>
    <mergeCell ref="F3:F7"/>
    <mergeCell ref="E3:E32"/>
    <mergeCell ref="G3:G7"/>
    <mergeCell ref="F8:F19"/>
    <mergeCell ref="F20:F32"/>
    <mergeCell ref="G8:G15"/>
    <mergeCell ref="G16:G32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F29439-A63F-41B7-8C7F-BBF483F3DE80}">
  <sheetPr>
    <pageSetUpPr fitToPage="1"/>
  </sheetPr>
  <dimension ref="A1:Z232"/>
  <sheetViews>
    <sheetView view="pageBreakPreview" topLeftCell="D117" zoomScaleNormal="100" zoomScaleSheetLayoutView="100" workbookViewId="0">
      <selection activeCell="F11" sqref="F11:N15"/>
    </sheetView>
  </sheetViews>
  <sheetFormatPr defaultRowHeight="12.75" x14ac:dyDescent="0.2"/>
  <cols>
    <col min="1" max="1" width="2.42578125" style="68" customWidth="1"/>
    <col min="2" max="2" width="5.42578125" style="68" customWidth="1"/>
    <col min="3" max="3" width="10.140625" style="68" customWidth="1"/>
    <col min="4" max="4" width="40.42578125" style="68" customWidth="1"/>
    <col min="5" max="5" width="9.7109375" style="68" customWidth="1"/>
    <col min="6" max="6" width="16.140625" style="68" customWidth="1"/>
    <col min="7" max="7" width="9.7109375" style="68" customWidth="1"/>
    <col min="8" max="8" width="16.140625" style="68" customWidth="1"/>
    <col min="9" max="9" width="9.7109375" style="68" customWidth="1"/>
    <col min="10" max="10" width="16.140625" style="68" customWidth="1"/>
    <col min="11" max="11" width="9.7109375" style="68" customWidth="1"/>
    <col min="12" max="12" width="16.140625" style="68" customWidth="1"/>
    <col min="13" max="13" width="9.7109375" style="68" customWidth="1"/>
    <col min="14" max="14" width="16.140625" style="68" customWidth="1"/>
    <col min="15" max="15" width="9.140625" style="68"/>
    <col min="16" max="16" width="9.7109375" style="68" customWidth="1"/>
    <col min="17" max="17" width="16.140625" style="68" customWidth="1"/>
    <col min="18" max="18" width="9.140625" style="68"/>
    <col min="19" max="19" width="9.7109375" style="68" customWidth="1"/>
    <col min="20" max="20" width="16.7109375" style="68" customWidth="1"/>
    <col min="21" max="21" width="9.140625" style="68"/>
    <col min="22" max="22" width="9.7109375" style="199" customWidth="1"/>
    <col min="23" max="23" width="16.140625" style="199" customWidth="1"/>
    <col min="24" max="24" width="9.140625" style="68"/>
    <col min="25" max="25" width="11.5703125" style="68" customWidth="1"/>
    <col min="26" max="26" width="16.28515625" style="68" customWidth="1"/>
    <col min="27" max="16384" width="9.140625" style="68"/>
  </cols>
  <sheetData>
    <row r="1" spans="1:23" ht="13.5" thickBot="1" x14ac:dyDescent="0.25">
      <c r="A1" s="42"/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S1" s="42"/>
      <c r="T1" s="42"/>
      <c r="V1" s="198"/>
      <c r="W1" s="198"/>
    </row>
    <row r="2" spans="1:23" ht="15" x14ac:dyDescent="0.25">
      <c r="A2" s="42"/>
      <c r="B2" s="363" t="s">
        <v>17</v>
      </c>
      <c r="C2" s="364"/>
      <c r="D2" s="364"/>
      <c r="E2" s="364"/>
      <c r="F2" s="364"/>
      <c r="G2" s="364"/>
      <c r="H2" s="364"/>
      <c r="I2" s="364"/>
      <c r="J2" s="364"/>
      <c r="K2" s="364"/>
      <c r="L2" s="364"/>
      <c r="M2" s="364"/>
      <c r="N2" s="365"/>
      <c r="O2" s="42"/>
      <c r="P2" s="42"/>
      <c r="Q2" s="42"/>
      <c r="S2" s="42"/>
      <c r="T2" s="42"/>
      <c r="V2" s="198"/>
      <c r="W2" s="198"/>
    </row>
    <row r="3" spans="1:23" ht="15" customHeight="1" x14ac:dyDescent="0.25">
      <c r="A3" s="42"/>
      <c r="B3" s="366" t="s">
        <v>70</v>
      </c>
      <c r="C3" s="367"/>
      <c r="D3" s="367"/>
      <c r="E3" s="367"/>
      <c r="F3" s="367"/>
      <c r="G3" s="367"/>
      <c r="H3" s="367"/>
      <c r="I3" s="367"/>
      <c r="J3" s="367"/>
      <c r="K3" s="367"/>
      <c r="L3" s="367"/>
      <c r="M3" s="367"/>
      <c r="N3" s="368"/>
      <c r="O3" s="42"/>
      <c r="P3" s="42"/>
      <c r="Q3" s="42"/>
      <c r="S3" s="42"/>
      <c r="T3" s="42"/>
      <c r="V3" s="198"/>
      <c r="W3" s="198"/>
    </row>
    <row r="4" spans="1:23" ht="15" customHeight="1" x14ac:dyDescent="0.25">
      <c r="A4" s="42"/>
      <c r="B4" s="366" t="s">
        <v>19</v>
      </c>
      <c r="C4" s="367"/>
      <c r="D4" s="367"/>
      <c r="E4" s="367"/>
      <c r="F4" s="367"/>
      <c r="G4" s="367"/>
      <c r="H4" s="367"/>
      <c r="I4" s="367"/>
      <c r="J4" s="367"/>
      <c r="K4" s="367"/>
      <c r="L4" s="367"/>
      <c r="M4" s="367"/>
      <c r="N4" s="368"/>
      <c r="O4" s="42"/>
      <c r="P4" s="42"/>
      <c r="Q4" s="42"/>
      <c r="S4" s="42"/>
      <c r="T4" s="42"/>
      <c r="V4" s="198"/>
      <c r="W4" s="198"/>
    </row>
    <row r="5" spans="1:23" ht="15.75" thickBot="1" x14ac:dyDescent="0.3">
      <c r="A5" s="42"/>
      <c r="B5" s="366" t="s">
        <v>126</v>
      </c>
      <c r="C5" s="367"/>
      <c r="D5" s="367"/>
      <c r="E5" s="367"/>
      <c r="F5" s="367"/>
      <c r="G5" s="367"/>
      <c r="H5" s="367"/>
      <c r="I5" s="367"/>
      <c r="J5" s="367"/>
      <c r="K5" s="367"/>
      <c r="L5" s="367"/>
      <c r="M5" s="367"/>
      <c r="N5" s="368"/>
      <c r="O5" s="42"/>
      <c r="P5" s="42"/>
      <c r="Q5" s="42"/>
      <c r="S5" s="42"/>
      <c r="T5" s="42"/>
      <c r="V5" s="198"/>
      <c r="W5" s="198"/>
    </row>
    <row r="6" spans="1:23" ht="15.75" thickBot="1" x14ac:dyDescent="0.3">
      <c r="A6" s="42"/>
      <c r="B6" s="369" t="s">
        <v>32</v>
      </c>
      <c r="C6" s="370"/>
      <c r="D6" s="370"/>
      <c r="E6" s="370"/>
      <c r="F6" s="370"/>
      <c r="G6" s="370"/>
      <c r="H6" s="370"/>
      <c r="I6" s="370"/>
      <c r="J6" s="370"/>
      <c r="K6" s="370"/>
      <c r="L6" s="370"/>
      <c r="M6" s="370"/>
      <c r="N6" s="371"/>
      <c r="O6" s="42"/>
      <c r="P6" s="42"/>
      <c r="Q6" s="42"/>
      <c r="S6" s="42"/>
      <c r="T6" s="42"/>
      <c r="V6" s="198"/>
      <c r="W6" s="198"/>
    </row>
    <row r="7" spans="1:23" ht="15.75" thickBot="1" x14ac:dyDescent="0.3">
      <c r="A7" s="42"/>
      <c r="B7" s="41"/>
      <c r="C7" s="372" t="s">
        <v>20</v>
      </c>
      <c r="D7" s="373"/>
      <c r="E7" s="374"/>
      <c r="F7" s="375" t="s">
        <v>221</v>
      </c>
      <c r="G7" s="376"/>
      <c r="H7" s="376"/>
      <c r="I7" s="376"/>
      <c r="J7" s="376"/>
      <c r="K7" s="376"/>
      <c r="L7" s="376"/>
      <c r="M7" s="376"/>
      <c r="N7" s="377"/>
      <c r="O7" s="42"/>
      <c r="P7" s="42"/>
      <c r="Q7" s="42"/>
      <c r="S7" s="42"/>
      <c r="T7" s="42"/>
      <c r="V7" s="198"/>
      <c r="W7" s="198"/>
    </row>
    <row r="8" spans="1:23" ht="15.75" thickBot="1" x14ac:dyDescent="0.3">
      <c r="A8" s="42"/>
      <c r="B8" s="69"/>
      <c r="C8" s="395" t="s">
        <v>72</v>
      </c>
      <c r="D8" s="396"/>
      <c r="E8" s="397"/>
      <c r="F8" s="398" t="s">
        <v>222</v>
      </c>
      <c r="G8" s="399"/>
      <c r="H8" s="399"/>
      <c r="I8" s="399"/>
      <c r="J8" s="399"/>
      <c r="K8" s="399"/>
      <c r="L8" s="399"/>
      <c r="M8" s="399"/>
      <c r="N8" s="400"/>
      <c r="O8" s="42"/>
      <c r="P8" s="42"/>
      <c r="Q8" s="42"/>
      <c r="S8" s="42"/>
      <c r="T8" s="42"/>
      <c r="V8" s="198"/>
      <c r="W8" s="198"/>
    </row>
    <row r="9" spans="1:23" ht="15" thickBot="1" x14ac:dyDescent="0.25">
      <c r="A9" s="42"/>
      <c r="B9" s="42"/>
      <c r="C9" s="1"/>
      <c r="D9" s="42"/>
      <c r="E9" s="42"/>
      <c r="F9" s="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S9" s="42"/>
      <c r="T9" s="42"/>
      <c r="V9" s="198"/>
      <c r="W9" s="198"/>
    </row>
    <row r="10" spans="1:23" ht="15.75" thickBot="1" x14ac:dyDescent="0.3">
      <c r="A10" s="42"/>
      <c r="B10" s="363" t="s">
        <v>33</v>
      </c>
      <c r="C10" s="364"/>
      <c r="D10" s="364"/>
      <c r="E10" s="364"/>
      <c r="F10" s="364"/>
      <c r="G10" s="364"/>
      <c r="H10" s="364"/>
      <c r="I10" s="364"/>
      <c r="J10" s="364"/>
      <c r="K10" s="364"/>
      <c r="L10" s="364"/>
      <c r="M10" s="364"/>
      <c r="N10" s="365"/>
      <c r="O10" s="42"/>
      <c r="P10" s="42"/>
      <c r="Q10" s="42"/>
      <c r="S10" s="42"/>
      <c r="T10" s="42"/>
      <c r="V10" s="198"/>
      <c r="W10" s="198"/>
    </row>
    <row r="11" spans="1:23" x14ac:dyDescent="0.2">
      <c r="A11" s="42"/>
      <c r="B11" s="70" t="s">
        <v>1</v>
      </c>
      <c r="C11" s="401" t="s">
        <v>21</v>
      </c>
      <c r="D11" s="402"/>
      <c r="E11" s="402"/>
      <c r="F11" s="403">
        <v>43969</v>
      </c>
      <c r="G11" s="404"/>
      <c r="H11" s="404"/>
      <c r="I11" s="404"/>
      <c r="J11" s="404"/>
      <c r="K11" s="404"/>
      <c r="L11" s="404"/>
      <c r="M11" s="404"/>
      <c r="N11" s="405"/>
      <c r="O11" s="42"/>
      <c r="P11" s="42"/>
      <c r="Q11" s="42"/>
      <c r="S11" s="42"/>
      <c r="T11" s="42"/>
      <c r="V11" s="198"/>
      <c r="W11" s="198"/>
    </row>
    <row r="12" spans="1:23" x14ac:dyDescent="0.2">
      <c r="A12" s="42"/>
      <c r="B12" s="197" t="s">
        <v>2</v>
      </c>
      <c r="C12" s="378" t="s">
        <v>241</v>
      </c>
      <c r="D12" s="379"/>
      <c r="E12" s="379"/>
      <c r="F12" s="380">
        <v>45450</v>
      </c>
      <c r="G12" s="407"/>
      <c r="H12" s="407"/>
      <c r="I12" s="407"/>
      <c r="J12" s="407"/>
      <c r="K12" s="407"/>
      <c r="L12" s="407"/>
      <c r="M12" s="407"/>
      <c r="N12" s="408"/>
      <c r="O12" s="42"/>
      <c r="P12" s="42"/>
      <c r="Q12" s="42"/>
      <c r="S12" s="42"/>
      <c r="T12" s="42"/>
      <c r="V12" s="198"/>
      <c r="W12" s="198"/>
    </row>
    <row r="13" spans="1:23" x14ac:dyDescent="0.2">
      <c r="A13" s="42"/>
      <c r="B13" s="71" t="s">
        <v>4</v>
      </c>
      <c r="C13" s="378" t="s">
        <v>3</v>
      </c>
      <c r="D13" s="379"/>
      <c r="E13" s="379"/>
      <c r="F13" s="406" t="s">
        <v>75</v>
      </c>
      <c r="G13" s="407"/>
      <c r="H13" s="407"/>
      <c r="I13" s="407"/>
      <c r="J13" s="407"/>
      <c r="K13" s="407"/>
      <c r="L13" s="407"/>
      <c r="M13" s="407"/>
      <c r="N13" s="408"/>
      <c r="O13" s="42"/>
      <c r="P13" s="42"/>
      <c r="Q13" s="42"/>
      <c r="S13" s="42"/>
      <c r="T13" s="42"/>
      <c r="V13" s="198"/>
      <c r="W13" s="198"/>
    </row>
    <row r="14" spans="1:23" x14ac:dyDescent="0.2">
      <c r="A14" s="42"/>
      <c r="B14" s="71" t="s">
        <v>5</v>
      </c>
      <c r="C14" s="378" t="s">
        <v>22</v>
      </c>
      <c r="D14" s="379"/>
      <c r="E14" s="379"/>
      <c r="F14" s="380" t="s">
        <v>294</v>
      </c>
      <c r="G14" s="381"/>
      <c r="H14" s="381"/>
      <c r="I14" s="381"/>
      <c r="J14" s="381"/>
      <c r="K14" s="381"/>
      <c r="L14" s="381"/>
      <c r="M14" s="381"/>
      <c r="N14" s="382"/>
      <c r="O14" s="42"/>
      <c r="P14" s="42"/>
      <c r="Q14" s="42"/>
      <c r="S14" s="42"/>
      <c r="T14" s="42"/>
      <c r="V14" s="198"/>
      <c r="W14" s="198"/>
    </row>
    <row r="15" spans="1:23" ht="13.5" thickBot="1" x14ac:dyDescent="0.25">
      <c r="A15" s="42"/>
      <c r="B15" s="72" t="s">
        <v>6</v>
      </c>
      <c r="C15" s="383" t="s">
        <v>23</v>
      </c>
      <c r="D15" s="384"/>
      <c r="E15" s="384"/>
      <c r="F15" s="385">
        <v>12</v>
      </c>
      <c r="G15" s="386"/>
      <c r="H15" s="386"/>
      <c r="I15" s="386"/>
      <c r="J15" s="386"/>
      <c r="K15" s="386"/>
      <c r="L15" s="386"/>
      <c r="M15" s="386"/>
      <c r="N15" s="387"/>
      <c r="O15" s="42"/>
      <c r="P15" s="42"/>
      <c r="Q15" s="42"/>
      <c r="S15" s="42"/>
      <c r="T15" s="42"/>
      <c r="V15" s="198"/>
      <c r="W15" s="198"/>
    </row>
    <row r="16" spans="1:23" x14ac:dyDescent="0.2">
      <c r="A16" s="42"/>
      <c r="B16" s="73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S16" s="42"/>
      <c r="T16" s="42"/>
      <c r="V16" s="198"/>
      <c r="W16" s="198"/>
    </row>
    <row r="17" spans="1:26" ht="15.75" thickBot="1" x14ac:dyDescent="0.3">
      <c r="A17" s="42"/>
      <c r="B17" s="367" t="s">
        <v>34</v>
      </c>
      <c r="C17" s="367"/>
      <c r="D17" s="367"/>
      <c r="E17" s="367"/>
      <c r="F17" s="367"/>
      <c r="G17" s="367"/>
      <c r="H17" s="367"/>
      <c r="I17" s="367"/>
      <c r="J17" s="367"/>
      <c r="K17" s="367"/>
      <c r="L17" s="367"/>
      <c r="M17" s="367"/>
      <c r="N17" s="367"/>
      <c r="O17" s="42"/>
      <c r="P17" s="42"/>
      <c r="Q17" s="42"/>
      <c r="S17" s="42"/>
      <c r="T17" s="42"/>
      <c r="V17" s="198"/>
      <c r="W17" s="198"/>
    </row>
    <row r="18" spans="1:26" s="199" customFormat="1" ht="13.5" thickBot="1" x14ac:dyDescent="0.25">
      <c r="A18" s="198"/>
      <c r="B18" s="388" t="s">
        <v>24</v>
      </c>
      <c r="C18" s="373"/>
      <c r="D18" s="15" t="s">
        <v>25</v>
      </c>
      <c r="E18" s="389" t="s">
        <v>26</v>
      </c>
      <c r="F18" s="390"/>
      <c r="G18" s="391"/>
      <c r="H18" s="392" t="s">
        <v>62</v>
      </c>
      <c r="I18" s="393"/>
      <c r="J18" s="393"/>
      <c r="K18" s="393"/>
      <c r="L18" s="393"/>
      <c r="M18" s="393"/>
      <c r="N18" s="394"/>
      <c r="O18" s="42"/>
      <c r="P18" s="198"/>
      <c r="Q18" s="198"/>
      <c r="S18" s="198"/>
      <c r="T18" s="198"/>
      <c r="V18" s="198"/>
      <c r="W18" s="198"/>
    </row>
    <row r="19" spans="1:26" s="199" customFormat="1" x14ac:dyDescent="0.2">
      <c r="A19" s="198"/>
      <c r="B19" s="422" t="s">
        <v>158</v>
      </c>
      <c r="C19" s="423"/>
      <c r="D19" s="140" t="s">
        <v>66</v>
      </c>
      <c r="E19" s="424">
        <v>3</v>
      </c>
      <c r="F19" s="424"/>
      <c r="G19" s="424"/>
      <c r="H19" s="425">
        <v>2</v>
      </c>
      <c r="I19" s="426"/>
      <c r="J19" s="426"/>
      <c r="K19" s="426"/>
      <c r="L19" s="426"/>
      <c r="M19" s="426"/>
      <c r="N19" s="427"/>
      <c r="O19" s="42"/>
      <c r="P19" s="198"/>
      <c r="Q19" s="198"/>
      <c r="S19" s="198"/>
      <c r="T19" s="198"/>
      <c r="V19" s="198"/>
      <c r="W19" s="198"/>
    </row>
    <row r="20" spans="1:26" s="199" customFormat="1" ht="13.5" thickBot="1" x14ac:dyDescent="0.25">
      <c r="A20" s="198"/>
      <c r="B20" s="428"/>
      <c r="C20" s="429"/>
      <c r="D20" s="429"/>
      <c r="E20" s="429"/>
      <c r="F20" s="429"/>
      <c r="G20" s="429"/>
      <c r="H20" s="429"/>
      <c r="I20" s="429"/>
      <c r="J20" s="429"/>
      <c r="K20" s="429"/>
      <c r="L20" s="429"/>
      <c r="M20" s="429"/>
      <c r="N20" s="430"/>
      <c r="O20" s="42"/>
      <c r="P20" s="198"/>
      <c r="Q20" s="198"/>
      <c r="S20" s="198"/>
      <c r="T20" s="198"/>
      <c r="V20" s="198"/>
      <c r="W20" s="198"/>
    </row>
    <row r="21" spans="1:26" s="199" customFormat="1" ht="12.75" customHeight="1" x14ac:dyDescent="0.2">
      <c r="A21" s="198"/>
      <c r="B21" s="431" t="s">
        <v>27</v>
      </c>
      <c r="C21" s="431"/>
      <c r="D21" s="431"/>
      <c r="E21" s="431"/>
      <c r="F21" s="431"/>
      <c r="G21" s="431"/>
      <c r="H21" s="431"/>
      <c r="I21" s="431"/>
      <c r="J21" s="431"/>
      <c r="K21" s="431"/>
      <c r="L21" s="431"/>
      <c r="M21" s="431"/>
      <c r="N21" s="431"/>
      <c r="O21" s="42"/>
      <c r="P21" s="198"/>
      <c r="Q21" s="198"/>
      <c r="S21" s="198"/>
      <c r="T21" s="198"/>
      <c r="V21" s="198"/>
      <c r="W21" s="198"/>
    </row>
    <row r="22" spans="1:26" ht="13.5" customHeight="1" thickBot="1" x14ac:dyDescent="0.25">
      <c r="A22" s="42"/>
      <c r="B22" s="431"/>
      <c r="C22" s="431"/>
      <c r="D22" s="431"/>
      <c r="E22" s="431"/>
      <c r="F22" s="431"/>
      <c r="G22" s="431"/>
      <c r="H22" s="431"/>
      <c r="I22" s="431"/>
      <c r="J22" s="431"/>
      <c r="K22" s="431"/>
      <c r="L22" s="431"/>
      <c r="M22" s="431"/>
      <c r="N22" s="431"/>
      <c r="O22" s="42"/>
      <c r="P22" s="42"/>
      <c r="Q22" s="42"/>
      <c r="S22" s="42"/>
      <c r="T22" s="42"/>
      <c r="V22" s="198"/>
      <c r="W22" s="198"/>
    </row>
    <row r="23" spans="1:26" x14ac:dyDescent="0.2">
      <c r="A23" s="42"/>
      <c r="B23" s="74">
        <v>1</v>
      </c>
      <c r="C23" s="432" t="s">
        <v>28</v>
      </c>
      <c r="D23" s="433"/>
      <c r="E23" s="434"/>
      <c r="F23" s="435" t="str">
        <f>B19</f>
        <v>Vigilante Diurno 12x36 Desarmado</v>
      </c>
      <c r="G23" s="436"/>
      <c r="H23" s="436"/>
      <c r="I23" s="436"/>
      <c r="J23" s="436"/>
      <c r="K23" s="436"/>
      <c r="L23" s="436"/>
      <c r="M23" s="436"/>
      <c r="N23" s="437"/>
      <c r="O23" s="42"/>
      <c r="P23" s="42"/>
      <c r="Q23" s="42"/>
      <c r="S23" s="42"/>
      <c r="T23" s="42"/>
      <c r="V23" s="198"/>
      <c r="W23" s="198"/>
    </row>
    <row r="24" spans="1:26" x14ac:dyDescent="0.2">
      <c r="A24" s="42"/>
      <c r="B24" s="75">
        <v>2</v>
      </c>
      <c r="C24" s="409" t="s">
        <v>29</v>
      </c>
      <c r="D24" s="410"/>
      <c r="E24" s="411"/>
      <c r="F24" s="412">
        <v>2723.41</v>
      </c>
      <c r="G24" s="413"/>
      <c r="H24" s="413"/>
      <c r="I24" s="413"/>
      <c r="J24" s="413"/>
      <c r="K24" s="413"/>
      <c r="L24" s="413"/>
      <c r="M24" s="413"/>
      <c r="N24" s="414"/>
      <c r="O24" s="42"/>
      <c r="P24" s="42"/>
      <c r="Q24" s="42"/>
      <c r="S24" s="42"/>
      <c r="T24" s="42"/>
      <c r="V24" s="198"/>
      <c r="W24" s="198"/>
    </row>
    <row r="25" spans="1:26" x14ac:dyDescent="0.2">
      <c r="A25" s="42"/>
      <c r="B25" s="75">
        <v>3</v>
      </c>
      <c r="C25" s="409" t="s">
        <v>30</v>
      </c>
      <c r="D25" s="410"/>
      <c r="E25" s="411"/>
      <c r="F25" s="409"/>
      <c r="G25" s="410"/>
      <c r="H25" s="410"/>
      <c r="I25" s="410"/>
      <c r="J25" s="410"/>
      <c r="K25" s="410"/>
      <c r="L25" s="410"/>
      <c r="M25" s="410"/>
      <c r="N25" s="415"/>
      <c r="O25" s="42"/>
      <c r="P25" s="42"/>
      <c r="Q25" s="42"/>
      <c r="S25" s="42"/>
      <c r="T25" s="42"/>
      <c r="V25" s="198"/>
      <c r="W25" s="198"/>
    </row>
    <row r="26" spans="1:26" ht="13.5" thickBot="1" x14ac:dyDescent="0.25">
      <c r="A26" s="42"/>
      <c r="B26" s="76">
        <v>4</v>
      </c>
      <c r="C26" s="416" t="s">
        <v>9</v>
      </c>
      <c r="D26" s="417"/>
      <c r="E26" s="418"/>
      <c r="F26" s="419" t="s">
        <v>293</v>
      </c>
      <c r="G26" s="420"/>
      <c r="H26" s="420"/>
      <c r="I26" s="420"/>
      <c r="J26" s="420"/>
      <c r="K26" s="420"/>
      <c r="L26" s="420"/>
      <c r="M26" s="420"/>
      <c r="N26" s="421"/>
      <c r="O26" s="42"/>
      <c r="P26" s="42"/>
      <c r="Q26" s="42"/>
      <c r="S26" s="42"/>
      <c r="T26" s="42"/>
      <c r="V26" s="198"/>
      <c r="W26" s="198"/>
    </row>
    <row r="27" spans="1:26" ht="13.5" thickBot="1" x14ac:dyDescent="0.25">
      <c r="A27" s="42"/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S27" s="42"/>
      <c r="T27" s="42"/>
      <c r="V27" s="198"/>
      <c r="W27" s="198"/>
    </row>
    <row r="28" spans="1:26" ht="15.75" thickBot="1" x14ac:dyDescent="0.3">
      <c r="A28" s="42"/>
      <c r="B28" s="369" t="s">
        <v>82</v>
      </c>
      <c r="C28" s="370"/>
      <c r="D28" s="370"/>
      <c r="E28" s="370"/>
      <c r="F28" s="370"/>
      <c r="G28" s="370"/>
      <c r="H28" s="370"/>
      <c r="I28" s="370"/>
      <c r="J28" s="370"/>
      <c r="K28" s="370"/>
      <c r="L28" s="370"/>
      <c r="M28" s="370"/>
      <c r="N28" s="371"/>
      <c r="O28" s="42"/>
      <c r="P28" s="42"/>
      <c r="Q28" s="42"/>
      <c r="S28" s="42"/>
      <c r="T28" s="42"/>
      <c r="V28" s="198"/>
      <c r="W28" s="198"/>
    </row>
    <row r="29" spans="1:26" ht="28.5" customHeight="1" thickBot="1" x14ac:dyDescent="0.3">
      <c r="A29" s="42"/>
      <c r="B29" s="65">
        <v>1</v>
      </c>
      <c r="C29" s="441" t="s">
        <v>57</v>
      </c>
      <c r="D29" s="442"/>
      <c r="E29" s="86"/>
      <c r="F29" s="66" t="s">
        <v>245</v>
      </c>
      <c r="G29" s="86"/>
      <c r="H29" s="202" t="s">
        <v>243</v>
      </c>
      <c r="I29" s="86"/>
      <c r="J29" s="202" t="s">
        <v>242</v>
      </c>
      <c r="K29" s="86"/>
      <c r="L29" s="202" t="s">
        <v>270</v>
      </c>
      <c r="M29" s="86"/>
      <c r="N29" s="202" t="s">
        <v>292</v>
      </c>
      <c r="O29" s="42"/>
      <c r="P29" s="86"/>
      <c r="Q29" s="202" t="s">
        <v>271</v>
      </c>
      <c r="S29" s="86"/>
      <c r="T29" s="262" t="s">
        <v>272</v>
      </c>
      <c r="V29" s="203"/>
      <c r="W29" s="204" t="s">
        <v>249</v>
      </c>
      <c r="Y29" s="86"/>
      <c r="Z29" s="202" t="s">
        <v>285</v>
      </c>
    </row>
    <row r="30" spans="1:26" x14ac:dyDescent="0.2">
      <c r="A30" s="42"/>
      <c r="B30" s="74" t="s">
        <v>1</v>
      </c>
      <c r="C30" s="443" t="s">
        <v>31</v>
      </c>
      <c r="D30" s="444"/>
      <c r="E30" s="77"/>
      <c r="F30" s="78">
        <v>2192.65</v>
      </c>
      <c r="G30" s="32"/>
      <c r="H30" s="33">
        <v>2258.4299999999998</v>
      </c>
      <c r="I30" s="32"/>
      <c r="J30" s="33">
        <v>2450.39</v>
      </c>
      <c r="K30" s="32"/>
      <c r="L30" s="33">
        <v>2593.73</v>
      </c>
      <c r="M30" s="32"/>
      <c r="N30" s="309">
        <f>F24</f>
        <v>2723.41</v>
      </c>
      <c r="O30" s="42"/>
      <c r="P30" s="32"/>
      <c r="Q30" s="33">
        <v>2593.73</v>
      </c>
      <c r="S30" s="32"/>
      <c r="T30" s="33">
        <v>0</v>
      </c>
      <c r="V30" s="205"/>
      <c r="W30" s="206">
        <v>2258.4299999999998</v>
      </c>
      <c r="Y30" s="32"/>
      <c r="Z30" s="33">
        <v>2593.73</v>
      </c>
    </row>
    <row r="31" spans="1:26" x14ac:dyDescent="0.2">
      <c r="A31" s="42"/>
      <c r="B31" s="75" t="s">
        <v>2</v>
      </c>
      <c r="C31" s="409" t="s">
        <v>73</v>
      </c>
      <c r="D31" s="411"/>
      <c r="E31" s="51">
        <v>0.3</v>
      </c>
      <c r="F31" s="35">
        <f>F30*E31</f>
        <v>657.79499999999996</v>
      </c>
      <c r="G31" s="34">
        <v>0.3</v>
      </c>
      <c r="H31" s="35">
        <f>H30*G31</f>
        <v>677.52899999999988</v>
      </c>
      <c r="I31" s="36">
        <v>0.3</v>
      </c>
      <c r="J31" s="37">
        <f>J30*I31</f>
        <v>735.11699999999996</v>
      </c>
      <c r="K31" s="36">
        <v>0.3</v>
      </c>
      <c r="L31" s="37">
        <f>L30*K31</f>
        <v>778.11900000000003</v>
      </c>
      <c r="M31" s="36">
        <v>0.3</v>
      </c>
      <c r="N31" s="37">
        <f>N30*M31</f>
        <v>817.02299999999991</v>
      </c>
      <c r="O31" s="42"/>
      <c r="P31" s="36">
        <v>0.3</v>
      </c>
      <c r="Q31" s="37">
        <f>Q30*P31</f>
        <v>778.11900000000003</v>
      </c>
      <c r="S31" s="36">
        <v>0.3</v>
      </c>
      <c r="T31" s="37">
        <f>T30*S31</f>
        <v>0</v>
      </c>
      <c r="V31" s="207">
        <v>0.3</v>
      </c>
      <c r="W31" s="208">
        <f>W30*V31</f>
        <v>677.52899999999988</v>
      </c>
      <c r="Y31" s="36">
        <v>0.3</v>
      </c>
      <c r="Z31" s="37">
        <f>Z30*Y31</f>
        <v>778.11900000000003</v>
      </c>
    </row>
    <row r="32" spans="1:26" x14ac:dyDescent="0.2">
      <c r="A32" s="42"/>
      <c r="B32" s="75" t="s">
        <v>4</v>
      </c>
      <c r="C32" s="409" t="s">
        <v>74</v>
      </c>
      <c r="D32" s="411"/>
      <c r="E32" s="51"/>
      <c r="F32" s="35"/>
      <c r="G32" s="34"/>
      <c r="H32" s="35"/>
      <c r="I32" s="36"/>
      <c r="J32" s="38"/>
      <c r="K32" s="36"/>
      <c r="L32" s="38"/>
      <c r="M32" s="36"/>
      <c r="N32" s="38"/>
      <c r="O32" s="42"/>
      <c r="P32" s="36"/>
      <c r="Q32" s="38"/>
      <c r="S32" s="36"/>
      <c r="T32" s="38"/>
      <c r="V32" s="207"/>
      <c r="W32" s="209"/>
      <c r="Y32" s="36"/>
      <c r="Z32" s="38"/>
    </row>
    <row r="33" spans="1:26" x14ac:dyDescent="0.2">
      <c r="A33" s="42"/>
      <c r="B33" s="75" t="s">
        <v>5</v>
      </c>
      <c r="C33" s="409" t="s">
        <v>10</v>
      </c>
      <c r="D33" s="411"/>
      <c r="E33" s="141"/>
      <c r="F33" s="35"/>
      <c r="G33" s="39"/>
      <c r="H33" s="37"/>
      <c r="I33" s="39"/>
      <c r="J33" s="38"/>
      <c r="K33" s="39"/>
      <c r="L33" s="38"/>
      <c r="M33" s="39"/>
      <c r="N33" s="38"/>
      <c r="O33" s="42"/>
      <c r="P33" s="39"/>
      <c r="Q33" s="38"/>
      <c r="S33" s="39"/>
      <c r="T33" s="38"/>
      <c r="V33" s="210"/>
      <c r="W33" s="209"/>
      <c r="Y33" s="188"/>
      <c r="Z33" s="37"/>
    </row>
    <row r="34" spans="1:26" x14ac:dyDescent="0.2">
      <c r="A34" s="42"/>
      <c r="B34" s="75" t="s">
        <v>6</v>
      </c>
      <c r="C34" s="409" t="s">
        <v>80</v>
      </c>
      <c r="D34" s="411"/>
      <c r="E34" s="141"/>
      <c r="F34" s="35"/>
      <c r="G34" s="39"/>
      <c r="H34" s="37"/>
      <c r="I34" s="39"/>
      <c r="J34" s="38"/>
      <c r="K34" s="39"/>
      <c r="L34" s="38"/>
      <c r="M34" s="39"/>
      <c r="N34" s="38"/>
      <c r="O34" s="42"/>
      <c r="P34" s="39"/>
      <c r="Q34" s="38"/>
      <c r="S34" s="39"/>
      <c r="T34" s="38"/>
      <c r="V34" s="210"/>
      <c r="W34" s="209"/>
      <c r="Y34" s="188"/>
      <c r="Z34" s="37"/>
    </row>
    <row r="35" spans="1:26" x14ac:dyDescent="0.2">
      <c r="A35" s="42"/>
      <c r="B35" s="75" t="s">
        <v>7</v>
      </c>
      <c r="C35" s="409" t="s">
        <v>81</v>
      </c>
      <c r="D35" s="411"/>
      <c r="E35" s="35"/>
      <c r="F35" s="35"/>
      <c r="G35" s="37"/>
      <c r="H35" s="37"/>
      <c r="I35" s="39"/>
      <c r="J35" s="38"/>
      <c r="K35" s="39"/>
      <c r="L35" s="38"/>
      <c r="M35" s="39"/>
      <c r="N35" s="38"/>
      <c r="O35" s="42"/>
      <c r="P35" s="39"/>
      <c r="Q35" s="38"/>
      <c r="S35" s="39"/>
      <c r="T35" s="38"/>
      <c r="V35" s="210"/>
      <c r="W35" s="209"/>
      <c r="Y35" s="39"/>
      <c r="Z35" s="38"/>
    </row>
    <row r="36" spans="1:26" ht="13.5" thickBot="1" x14ac:dyDescent="0.25">
      <c r="A36" s="42"/>
      <c r="B36" s="76" t="s">
        <v>12</v>
      </c>
      <c r="C36" s="416" t="s">
        <v>11</v>
      </c>
      <c r="D36" s="418"/>
      <c r="E36" s="40"/>
      <c r="F36" s="40"/>
      <c r="G36" s="40"/>
      <c r="H36" s="40"/>
      <c r="I36" s="40"/>
      <c r="J36" s="45"/>
      <c r="K36" s="40"/>
      <c r="L36" s="45"/>
      <c r="M36" s="40"/>
      <c r="N36" s="45"/>
      <c r="O36" s="42"/>
      <c r="P36" s="40"/>
      <c r="Q36" s="45"/>
      <c r="S36" s="40"/>
      <c r="T36" s="45"/>
      <c r="V36" s="211"/>
      <c r="W36" s="212"/>
      <c r="Y36" s="40"/>
      <c r="Z36" s="45"/>
    </row>
    <row r="37" spans="1:26" ht="15.75" thickBot="1" x14ac:dyDescent="0.3">
      <c r="A37" s="42"/>
      <c r="B37" s="41"/>
      <c r="C37" s="438" t="s">
        <v>40</v>
      </c>
      <c r="D37" s="439"/>
      <c r="E37" s="440"/>
      <c r="F37" s="13">
        <f>ROUND(SUM(F30:F36),2)</f>
        <v>2850.45</v>
      </c>
      <c r="G37" s="41"/>
      <c r="H37" s="13">
        <f>ROUND(SUM(H30:H36),2)</f>
        <v>2935.96</v>
      </c>
      <c r="I37" s="41"/>
      <c r="J37" s="5">
        <f>ROUND(SUM(J30:J36),2)</f>
        <v>3185.51</v>
      </c>
      <c r="K37" s="41"/>
      <c r="L37" s="5">
        <f>ROUND(SUM(L30:L36),2)</f>
        <v>3371.85</v>
      </c>
      <c r="M37" s="41"/>
      <c r="N37" s="5">
        <f>ROUND(SUM(N30:N36),2)</f>
        <v>3540.43</v>
      </c>
      <c r="O37" s="42"/>
      <c r="P37" s="41"/>
      <c r="Q37" s="5">
        <f>ROUND(SUM(Q30:Q36),2)</f>
        <v>3371.85</v>
      </c>
      <c r="S37" s="41"/>
      <c r="T37" s="5">
        <f>ROUND(SUM(T30:T36),2)</f>
        <v>0</v>
      </c>
      <c r="V37" s="213"/>
      <c r="W37" s="214">
        <f>ROUND(SUM(W30:W36),2)</f>
        <v>2935.96</v>
      </c>
      <c r="Y37" s="41"/>
      <c r="Z37" s="5">
        <f>ROUND(SUM(Z30:Z36),2)</f>
        <v>3371.85</v>
      </c>
    </row>
    <row r="38" spans="1:26" ht="13.5" thickBot="1" x14ac:dyDescent="0.25">
      <c r="A38" s="42"/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S38" s="42"/>
      <c r="T38" s="42"/>
      <c r="V38" s="198"/>
      <c r="W38" s="198"/>
      <c r="Y38" s="42"/>
      <c r="Z38" s="42"/>
    </row>
    <row r="39" spans="1:26" ht="15.75" thickBot="1" x14ac:dyDescent="0.3">
      <c r="A39" s="42"/>
      <c r="B39" s="369" t="s">
        <v>83</v>
      </c>
      <c r="C39" s="370"/>
      <c r="D39" s="370"/>
      <c r="E39" s="370"/>
      <c r="F39" s="370"/>
      <c r="G39" s="370"/>
      <c r="H39" s="370"/>
      <c r="I39" s="370"/>
      <c r="J39" s="370"/>
      <c r="K39" s="370"/>
      <c r="L39" s="370"/>
      <c r="M39" s="370"/>
      <c r="N39" s="371"/>
      <c r="O39" s="42"/>
      <c r="P39" s="42"/>
      <c r="Q39" s="42"/>
      <c r="S39" s="42"/>
      <c r="T39" s="42"/>
      <c r="V39" s="198"/>
      <c r="W39" s="198"/>
      <c r="Y39" s="42"/>
      <c r="Z39" s="42"/>
    </row>
    <row r="40" spans="1:26" ht="15.75" thickBot="1" x14ac:dyDescent="0.3">
      <c r="A40" s="42"/>
      <c r="B40" s="369" t="s">
        <v>85</v>
      </c>
      <c r="C40" s="370"/>
      <c r="D40" s="370"/>
      <c r="E40" s="370"/>
      <c r="F40" s="370"/>
      <c r="G40" s="370"/>
      <c r="H40" s="370"/>
      <c r="I40" s="370"/>
      <c r="J40" s="370"/>
      <c r="K40" s="370"/>
      <c r="L40" s="370"/>
      <c r="M40" s="370"/>
      <c r="N40" s="371"/>
      <c r="O40" s="42"/>
      <c r="P40" s="42"/>
      <c r="Q40" s="42"/>
      <c r="S40" s="42"/>
      <c r="T40" s="42"/>
      <c r="V40" s="198"/>
      <c r="W40" s="198"/>
      <c r="Y40" s="42"/>
      <c r="Z40" s="42"/>
    </row>
    <row r="41" spans="1:26" ht="15.75" thickBot="1" x14ac:dyDescent="0.3">
      <c r="A41" s="42"/>
      <c r="B41" s="94" t="s">
        <v>84</v>
      </c>
      <c r="C41" s="441" t="s">
        <v>86</v>
      </c>
      <c r="D41" s="442"/>
      <c r="E41" s="447"/>
      <c r="F41" s="66" t="s">
        <v>77</v>
      </c>
      <c r="G41" s="86"/>
      <c r="H41" s="66" t="s">
        <v>78</v>
      </c>
      <c r="I41" s="86"/>
      <c r="J41" s="66" t="s">
        <v>79</v>
      </c>
      <c r="K41" s="86"/>
      <c r="L41" s="66" t="s">
        <v>79</v>
      </c>
      <c r="M41" s="86"/>
      <c r="N41" s="66" t="s">
        <v>79</v>
      </c>
      <c r="O41" s="42"/>
      <c r="P41" s="86"/>
      <c r="Q41" s="66" t="s">
        <v>79</v>
      </c>
      <c r="S41" s="86"/>
      <c r="T41" s="66" t="s">
        <v>79</v>
      </c>
      <c r="V41" s="203"/>
      <c r="W41" s="215" t="s">
        <v>79</v>
      </c>
      <c r="Y41" s="86"/>
      <c r="Z41" s="66" t="s">
        <v>79</v>
      </c>
    </row>
    <row r="42" spans="1:26" x14ac:dyDescent="0.2">
      <c r="A42" s="42"/>
      <c r="B42" s="70" t="s">
        <v>1</v>
      </c>
      <c r="C42" s="432" t="s">
        <v>87</v>
      </c>
      <c r="D42" s="445"/>
      <c r="E42" s="88">
        <f>ROUND(1/12,4)</f>
        <v>8.3299999999999999E-2</v>
      </c>
      <c r="F42" s="43">
        <f>E42*F37</f>
        <v>237.44248499999998</v>
      </c>
      <c r="G42" s="88">
        <f>ROUND(1/12,4)</f>
        <v>8.3299999999999999E-2</v>
      </c>
      <c r="H42" s="43">
        <f>G42*H37</f>
        <v>244.56546800000001</v>
      </c>
      <c r="I42" s="88">
        <f>ROUND(1/12,4)</f>
        <v>8.3299999999999999E-2</v>
      </c>
      <c r="J42" s="44">
        <f>I42*J37</f>
        <v>265.35298299999999</v>
      </c>
      <c r="K42" s="88">
        <f>ROUND(1/12,4)</f>
        <v>8.3299999999999999E-2</v>
      </c>
      <c r="L42" s="44">
        <f>K42*L37</f>
        <v>280.87510499999996</v>
      </c>
      <c r="M42" s="88">
        <f>ROUND(1/12,4)</f>
        <v>8.3299999999999999E-2</v>
      </c>
      <c r="N42" s="44">
        <f>M42*N37</f>
        <v>294.91781900000001</v>
      </c>
      <c r="O42" s="42"/>
      <c r="P42" s="88">
        <v>0</v>
      </c>
      <c r="Q42" s="44">
        <f>P42*Q37</f>
        <v>0</v>
      </c>
      <c r="S42" s="88">
        <v>0</v>
      </c>
      <c r="T42" s="44">
        <f>S42*T37</f>
        <v>0</v>
      </c>
      <c r="V42" s="216">
        <v>0</v>
      </c>
      <c r="W42" s="217">
        <f>V42*W37</f>
        <v>0</v>
      </c>
      <c r="Y42" s="88">
        <v>0</v>
      </c>
      <c r="Z42" s="44">
        <f>Y42*Z37</f>
        <v>0</v>
      </c>
    </row>
    <row r="43" spans="1:26" ht="13.5" thickBot="1" x14ac:dyDescent="0.25">
      <c r="A43" s="42"/>
      <c r="B43" s="71" t="s">
        <v>2</v>
      </c>
      <c r="C43" s="409" t="s">
        <v>88</v>
      </c>
      <c r="D43" s="415"/>
      <c r="E43" s="89">
        <f>ROUND(1/11+1/11*1/3,3)</f>
        <v>0.121</v>
      </c>
      <c r="F43" s="35">
        <f>E43*F37</f>
        <v>344.90444999999994</v>
      </c>
      <c r="G43" s="89">
        <f>ROUND(1/11+1/11*1/3,3)</f>
        <v>0.121</v>
      </c>
      <c r="H43" s="35">
        <f>G43*H37</f>
        <v>355.25115999999997</v>
      </c>
      <c r="I43" s="89">
        <f>ROUND(1/11+1/11*1/3,3)</f>
        <v>0.121</v>
      </c>
      <c r="J43" s="35">
        <f>I43*J37</f>
        <v>385.44671</v>
      </c>
      <c r="K43" s="89">
        <f>ROUND(1/11+1/11*1/3,3)</f>
        <v>0.121</v>
      </c>
      <c r="L43" s="35">
        <f>K43*L37</f>
        <v>407.99384999999995</v>
      </c>
      <c r="M43" s="89">
        <f>ROUND(1/11+1/11*1/3,3)</f>
        <v>0.121</v>
      </c>
      <c r="N43" s="35">
        <f>M43*N37</f>
        <v>428.39202999999998</v>
      </c>
      <c r="O43" s="42"/>
      <c r="P43" s="89">
        <v>0</v>
      </c>
      <c r="Q43" s="35">
        <f>P43*Q37</f>
        <v>0</v>
      </c>
      <c r="S43" s="89">
        <f>ROUND(1/11+1/11*1/3,3)</f>
        <v>0.121</v>
      </c>
      <c r="T43" s="35">
        <f>N37+N37/3</f>
        <v>4720.5733333333328</v>
      </c>
      <c r="U43" s="195"/>
      <c r="V43" s="218">
        <f>ROUND(1/11+1/11*1/3,3)</f>
        <v>0.121</v>
      </c>
      <c r="W43" s="219">
        <f>V43*W37</f>
        <v>355.25115999999997</v>
      </c>
      <c r="Y43" s="89">
        <v>0</v>
      </c>
      <c r="Z43" s="35">
        <f>Y43*Z37</f>
        <v>0</v>
      </c>
    </row>
    <row r="44" spans="1:26" ht="13.5" customHeight="1" thickBot="1" x14ac:dyDescent="0.25">
      <c r="A44" s="42"/>
      <c r="B44" s="448" t="s">
        <v>16</v>
      </c>
      <c r="C44" s="449"/>
      <c r="D44" s="450"/>
      <c r="E44" s="90">
        <f>E42+E43</f>
        <v>0.20429999999999998</v>
      </c>
      <c r="F44" s="11">
        <f>SUM(F42:F43)</f>
        <v>582.34693499999992</v>
      </c>
      <c r="G44" s="90">
        <f>G42+G43</f>
        <v>0.20429999999999998</v>
      </c>
      <c r="H44" s="11">
        <f>SUM(H42:H43)</f>
        <v>599.81662800000004</v>
      </c>
      <c r="I44" s="90">
        <f>I42+I43</f>
        <v>0.20429999999999998</v>
      </c>
      <c r="J44" s="11">
        <f>SUM(J42:J43)</f>
        <v>650.79969299999993</v>
      </c>
      <c r="K44" s="90">
        <f>K42+K43</f>
        <v>0.20429999999999998</v>
      </c>
      <c r="L44" s="11">
        <f>SUM(L42:L43)</f>
        <v>688.86895499999991</v>
      </c>
      <c r="M44" s="90">
        <f>M42+M43</f>
        <v>0.20429999999999998</v>
      </c>
      <c r="N44" s="11">
        <f>SUM(N42:N43)</f>
        <v>723.30984899999999</v>
      </c>
      <c r="O44" s="42"/>
      <c r="P44" s="90">
        <f>P42+P43</f>
        <v>0</v>
      </c>
      <c r="Q44" s="11">
        <f>SUM(Q42:Q43)</f>
        <v>0</v>
      </c>
      <c r="S44" s="90">
        <f>S42+S43</f>
        <v>0.121</v>
      </c>
      <c r="T44" s="11">
        <f>SUM(T42:T43)</f>
        <v>4720.5733333333328</v>
      </c>
      <c r="V44" s="220">
        <f>V42+V43</f>
        <v>0.121</v>
      </c>
      <c r="W44" s="221">
        <f>SUM(W42:W43)</f>
        <v>355.25115999999997</v>
      </c>
      <c r="Y44" s="90">
        <f>Y42+Y43</f>
        <v>0</v>
      </c>
      <c r="Z44" s="11">
        <f>SUM(Z42:Z43)</f>
        <v>0</v>
      </c>
    </row>
    <row r="45" spans="1:26" ht="13.5" thickBot="1" x14ac:dyDescent="0.25">
      <c r="A45" s="42"/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S45" s="42"/>
      <c r="T45" s="42"/>
      <c r="V45" s="198"/>
      <c r="W45" s="198"/>
      <c r="Y45" s="42"/>
      <c r="Z45" s="42"/>
    </row>
    <row r="46" spans="1:26" ht="15.75" thickBot="1" x14ac:dyDescent="0.3">
      <c r="A46" s="42"/>
      <c r="B46" s="369" t="s">
        <v>89</v>
      </c>
      <c r="C46" s="370"/>
      <c r="D46" s="370"/>
      <c r="E46" s="370"/>
      <c r="F46" s="370"/>
      <c r="G46" s="370"/>
      <c r="H46" s="370"/>
      <c r="I46" s="370"/>
      <c r="J46" s="370"/>
      <c r="K46" s="370"/>
      <c r="L46" s="370"/>
      <c r="M46" s="370"/>
      <c r="N46" s="371"/>
      <c r="O46" s="42"/>
      <c r="P46" s="42"/>
      <c r="Q46" s="42"/>
      <c r="S46" s="42"/>
      <c r="T46" s="42"/>
      <c r="V46" s="198"/>
      <c r="W46" s="198"/>
      <c r="Y46" s="42"/>
      <c r="Z46" s="42"/>
    </row>
    <row r="47" spans="1:26" ht="15.75" thickBot="1" x14ac:dyDescent="0.3">
      <c r="A47" s="42"/>
      <c r="B47" s="65" t="s">
        <v>90</v>
      </c>
      <c r="C47" s="369" t="s">
        <v>91</v>
      </c>
      <c r="D47" s="371"/>
      <c r="E47" s="7"/>
      <c r="F47" s="66" t="s">
        <v>77</v>
      </c>
      <c r="G47" s="86"/>
      <c r="H47" s="66" t="s">
        <v>78</v>
      </c>
      <c r="I47" s="86"/>
      <c r="J47" s="66" t="s">
        <v>79</v>
      </c>
      <c r="K47" s="86"/>
      <c r="L47" s="66" t="s">
        <v>79</v>
      </c>
      <c r="M47" s="86"/>
      <c r="N47" s="66" t="s">
        <v>79</v>
      </c>
      <c r="O47" s="42"/>
      <c r="P47" s="86"/>
      <c r="Q47" s="66" t="s">
        <v>79</v>
      </c>
      <c r="S47" s="86"/>
      <c r="T47" s="66" t="s">
        <v>79</v>
      </c>
      <c r="V47" s="203"/>
      <c r="W47" s="215" t="s">
        <v>79</v>
      </c>
      <c r="Y47" s="86"/>
      <c r="Z47" s="66" t="s">
        <v>79</v>
      </c>
    </row>
    <row r="48" spans="1:26" x14ac:dyDescent="0.2">
      <c r="A48" s="42"/>
      <c r="B48" s="70" t="s">
        <v>1</v>
      </c>
      <c r="C48" s="432" t="s">
        <v>41</v>
      </c>
      <c r="D48" s="445"/>
      <c r="E48" s="49">
        <v>0.2</v>
      </c>
      <c r="F48" s="61">
        <f>E48*($F$37+$F$44)</f>
        <v>686.55938700000002</v>
      </c>
      <c r="G48" s="49">
        <v>0.2</v>
      </c>
      <c r="H48" s="46">
        <f>G48*($H$37+$H$44)</f>
        <v>707.15532560000008</v>
      </c>
      <c r="I48" s="49">
        <v>0.2</v>
      </c>
      <c r="J48" s="46">
        <f t="shared" ref="J48:J55" si="0">I48*($J$37+$J$44)</f>
        <v>767.26193860000012</v>
      </c>
      <c r="K48" s="49">
        <v>0.2</v>
      </c>
      <c r="L48" s="46">
        <f>K48*(L37+L44)</f>
        <v>812.14379099999996</v>
      </c>
      <c r="M48" s="49">
        <v>0.2</v>
      </c>
      <c r="N48" s="46">
        <f>M48*(N37+N44)</f>
        <v>852.74796979999996</v>
      </c>
      <c r="O48" s="42"/>
      <c r="P48" s="49">
        <v>0.2</v>
      </c>
      <c r="Q48" s="46">
        <f>P48*(Q37+Q44)</f>
        <v>674.37</v>
      </c>
      <c r="S48" s="49">
        <v>0.2</v>
      </c>
      <c r="T48" s="46">
        <f>S48*(T37+T44)</f>
        <v>944.11466666666661</v>
      </c>
      <c r="V48" s="222">
        <v>0.2</v>
      </c>
      <c r="W48" s="223">
        <v>0</v>
      </c>
      <c r="Y48" s="49">
        <v>0.2</v>
      </c>
      <c r="Z48" s="46">
        <f>Y48*(Z37+Z44)</f>
        <v>674.37</v>
      </c>
    </row>
    <row r="49" spans="1:26" x14ac:dyDescent="0.2">
      <c r="A49" s="42"/>
      <c r="B49" s="71" t="s">
        <v>2</v>
      </c>
      <c r="C49" s="409" t="s">
        <v>92</v>
      </c>
      <c r="D49" s="415"/>
      <c r="E49" s="51">
        <v>2.5000000000000001E-2</v>
      </c>
      <c r="F49" s="54">
        <f t="shared" ref="F49:F55" si="1">E49*($F$37+$F$44)</f>
        <v>85.819923375000002</v>
      </c>
      <c r="G49" s="51">
        <v>2.5000000000000001E-2</v>
      </c>
      <c r="H49" s="55">
        <f t="shared" ref="H49:H55" si="2">G49*($H$37+$H$44)</f>
        <v>88.39441570000001</v>
      </c>
      <c r="I49" s="51">
        <v>2.5000000000000001E-2</v>
      </c>
      <c r="J49" s="59">
        <f t="shared" si="0"/>
        <v>95.907742325000015</v>
      </c>
      <c r="K49" s="51">
        <v>2.5000000000000001E-2</v>
      </c>
      <c r="L49" s="59">
        <f>K49*(L37+L44)</f>
        <v>101.517973875</v>
      </c>
      <c r="M49" s="51">
        <v>2.5000000000000001E-2</v>
      </c>
      <c r="N49" s="59">
        <f>M49*(N37+N44)</f>
        <v>106.593496225</v>
      </c>
      <c r="O49" s="42"/>
      <c r="P49" s="51">
        <v>2.5000000000000001E-2</v>
      </c>
      <c r="Q49" s="81">
        <f>P49*(Q37+Q44)</f>
        <v>84.296250000000001</v>
      </c>
      <c r="S49" s="51">
        <v>2.5000000000000001E-2</v>
      </c>
      <c r="T49" s="81">
        <f>S49*(T37+T44)</f>
        <v>118.01433333333333</v>
      </c>
      <c r="V49" s="224">
        <v>2.5000000000000001E-2</v>
      </c>
      <c r="W49" s="225">
        <v>0</v>
      </c>
      <c r="Y49" s="51">
        <v>2.5000000000000001E-2</v>
      </c>
      <c r="Z49" s="59">
        <f>Y49*(Z37+Z44)</f>
        <v>84.296250000000001</v>
      </c>
    </row>
    <row r="50" spans="1:26" x14ac:dyDescent="0.2">
      <c r="A50" s="42"/>
      <c r="B50" s="71" t="s">
        <v>4</v>
      </c>
      <c r="C50" s="409" t="s">
        <v>93</v>
      </c>
      <c r="D50" s="415"/>
      <c r="E50" s="51">
        <f>3%*0.5</f>
        <v>1.4999999999999999E-2</v>
      </c>
      <c r="F50" s="54">
        <f t="shared" si="1"/>
        <v>51.491954024999998</v>
      </c>
      <c r="G50" s="51">
        <f>3%*0.5</f>
        <v>1.4999999999999999E-2</v>
      </c>
      <c r="H50" s="81">
        <f t="shared" si="2"/>
        <v>53.036649419999996</v>
      </c>
      <c r="I50" s="51">
        <f>3%*0.5</f>
        <v>1.4999999999999999E-2</v>
      </c>
      <c r="J50" s="59">
        <f t="shared" si="0"/>
        <v>57.544645395000003</v>
      </c>
      <c r="K50" s="51">
        <f>3%*0.5</f>
        <v>1.4999999999999999E-2</v>
      </c>
      <c r="L50" s="59">
        <f>K50*(L37+L44)</f>
        <v>60.910784324999995</v>
      </c>
      <c r="M50" s="51">
        <f>3%*0.5</f>
        <v>1.4999999999999999E-2</v>
      </c>
      <c r="N50" s="59">
        <f>M50*(N37+N44)</f>
        <v>63.956097734999993</v>
      </c>
      <c r="O50" s="42"/>
      <c r="P50" s="51">
        <f>3%*0.5</f>
        <v>1.4999999999999999E-2</v>
      </c>
      <c r="Q50" s="54">
        <f>P50*(Q37+Q44)</f>
        <v>50.577749999999995</v>
      </c>
      <c r="S50" s="51">
        <f>3%*0.5</f>
        <v>1.4999999999999999E-2</v>
      </c>
      <c r="T50" s="54">
        <f>S50*(T37+T44)</f>
        <v>70.808599999999984</v>
      </c>
      <c r="V50" s="224">
        <f>3%*0.5</f>
        <v>1.4999999999999999E-2</v>
      </c>
      <c r="W50" s="226">
        <v>0</v>
      </c>
      <c r="Y50" s="51">
        <f>3%*0.5</f>
        <v>1.4999999999999999E-2</v>
      </c>
      <c r="Z50" s="59">
        <f>Y50*(Z37+Z44)</f>
        <v>50.577749999999995</v>
      </c>
    </row>
    <row r="51" spans="1:26" x14ac:dyDescent="0.2">
      <c r="A51" s="42"/>
      <c r="B51" s="71" t="s">
        <v>5</v>
      </c>
      <c r="C51" s="409" t="s">
        <v>94</v>
      </c>
      <c r="D51" s="415"/>
      <c r="E51" s="51">
        <v>1.4999999999999999E-2</v>
      </c>
      <c r="F51" s="54">
        <f t="shared" si="1"/>
        <v>51.491954024999998</v>
      </c>
      <c r="G51" s="51">
        <v>1.4999999999999999E-2</v>
      </c>
      <c r="H51" s="52">
        <f t="shared" si="2"/>
        <v>53.036649419999996</v>
      </c>
      <c r="I51" s="51">
        <v>1.4999999999999999E-2</v>
      </c>
      <c r="J51" s="59">
        <f t="shared" si="0"/>
        <v>57.544645395000003</v>
      </c>
      <c r="K51" s="51">
        <v>1.4999999999999999E-2</v>
      </c>
      <c r="L51" s="82">
        <f>K51*(L37+L44)</f>
        <v>60.910784324999995</v>
      </c>
      <c r="M51" s="51">
        <v>1.4999999999999999E-2</v>
      </c>
      <c r="N51" s="82">
        <f>M51*(N37+N44)</f>
        <v>63.956097734999993</v>
      </c>
      <c r="O51" s="42"/>
      <c r="P51" s="51">
        <v>1.4999999999999999E-2</v>
      </c>
      <c r="Q51" s="52">
        <f>P51*(Q37+Q44)</f>
        <v>50.577749999999995</v>
      </c>
      <c r="S51" s="51">
        <v>1.4999999999999999E-2</v>
      </c>
      <c r="T51" s="52">
        <f>S51*(T37+T44)</f>
        <v>70.808599999999984</v>
      </c>
      <c r="V51" s="224">
        <v>1.4999999999999999E-2</v>
      </c>
      <c r="W51" s="227">
        <v>0</v>
      </c>
      <c r="Y51" s="51">
        <v>1.4999999999999999E-2</v>
      </c>
      <c r="Z51" s="82">
        <f>Y51*(Z37+Z44)</f>
        <v>50.577749999999995</v>
      </c>
    </row>
    <row r="52" spans="1:26" x14ac:dyDescent="0.2">
      <c r="A52" s="42"/>
      <c r="B52" s="71" t="s">
        <v>6</v>
      </c>
      <c r="C52" s="409" t="s">
        <v>95</v>
      </c>
      <c r="D52" s="415"/>
      <c r="E52" s="51">
        <v>0.01</v>
      </c>
      <c r="F52" s="52">
        <f t="shared" si="1"/>
        <v>34.327969349999996</v>
      </c>
      <c r="G52" s="51">
        <v>0.01</v>
      </c>
      <c r="H52" s="55">
        <f t="shared" si="2"/>
        <v>35.35776628</v>
      </c>
      <c r="I52" s="51">
        <v>0.01</v>
      </c>
      <c r="J52" s="59">
        <f t="shared" si="0"/>
        <v>38.363096930000005</v>
      </c>
      <c r="K52" s="51">
        <v>0.01</v>
      </c>
      <c r="L52" s="62">
        <f>K52*(L37+L44)</f>
        <v>40.607189550000001</v>
      </c>
      <c r="M52" s="51">
        <v>0.01</v>
      </c>
      <c r="N52" s="62">
        <f>M52*(N37+N44)</f>
        <v>42.637398489999995</v>
      </c>
      <c r="O52" s="42"/>
      <c r="P52" s="51">
        <v>0.01</v>
      </c>
      <c r="Q52" s="52">
        <f>P52*(Q37+Q44)</f>
        <v>33.718499999999999</v>
      </c>
      <c r="S52" s="51">
        <v>0.01</v>
      </c>
      <c r="T52" s="52">
        <f>S52*(T37+T44)</f>
        <v>47.205733333333328</v>
      </c>
      <c r="V52" s="224">
        <v>0.01</v>
      </c>
      <c r="W52" s="227">
        <v>0</v>
      </c>
      <c r="Y52" s="51">
        <v>0.01</v>
      </c>
      <c r="Z52" s="62">
        <f>Y52*(Z37+Z44)</f>
        <v>33.718499999999999</v>
      </c>
    </row>
    <row r="53" spans="1:26" x14ac:dyDescent="0.2">
      <c r="A53" s="42"/>
      <c r="B53" s="80" t="s">
        <v>7</v>
      </c>
      <c r="C53" s="378" t="s">
        <v>44</v>
      </c>
      <c r="D53" s="446"/>
      <c r="E53" s="53">
        <v>6.0000000000000001E-3</v>
      </c>
      <c r="F53" s="82">
        <f t="shared" si="1"/>
        <v>20.596781610000001</v>
      </c>
      <c r="G53" s="53">
        <v>6.0000000000000001E-3</v>
      </c>
      <c r="H53" s="81">
        <f t="shared" si="2"/>
        <v>21.214659768000001</v>
      </c>
      <c r="I53" s="53">
        <v>6.0000000000000001E-3</v>
      </c>
      <c r="J53" s="59">
        <f t="shared" si="0"/>
        <v>23.017858158000003</v>
      </c>
      <c r="K53" s="53">
        <v>6.0000000000000001E-3</v>
      </c>
      <c r="L53" s="59">
        <f>K53*(L37+L44)</f>
        <v>24.364313729999999</v>
      </c>
      <c r="M53" s="53">
        <v>6.0000000000000001E-3</v>
      </c>
      <c r="N53" s="59">
        <f>M53*(N37+N44)</f>
        <v>25.582439093999998</v>
      </c>
      <c r="O53" s="42"/>
      <c r="P53" s="53">
        <v>6.0000000000000001E-3</v>
      </c>
      <c r="Q53" s="52">
        <f>P53*(Q37+Q44)</f>
        <v>20.231100000000001</v>
      </c>
      <c r="S53" s="53">
        <v>6.0000000000000001E-3</v>
      </c>
      <c r="T53" s="52">
        <f>S53*(T37+T44)</f>
        <v>28.323439999999998</v>
      </c>
      <c r="V53" s="228">
        <v>6.0000000000000001E-3</v>
      </c>
      <c r="W53" s="227">
        <v>0</v>
      </c>
      <c r="Y53" s="53">
        <v>6.0000000000000001E-3</v>
      </c>
      <c r="Z53" s="59">
        <f>Y53*(Z37+Z44)</f>
        <v>20.231100000000001</v>
      </c>
    </row>
    <row r="54" spans="1:26" x14ac:dyDescent="0.2">
      <c r="A54" s="42"/>
      <c r="B54" s="80" t="s">
        <v>8</v>
      </c>
      <c r="C54" s="378" t="s">
        <v>42</v>
      </c>
      <c r="D54" s="446"/>
      <c r="E54" s="53">
        <v>2E-3</v>
      </c>
      <c r="F54" s="52">
        <f t="shared" si="1"/>
        <v>6.8655938699999997</v>
      </c>
      <c r="G54" s="53">
        <v>2E-3</v>
      </c>
      <c r="H54" s="52">
        <f t="shared" si="2"/>
        <v>7.0715532560000005</v>
      </c>
      <c r="I54" s="53">
        <v>2E-3</v>
      </c>
      <c r="J54" s="59">
        <f t="shared" si="0"/>
        <v>7.672619386</v>
      </c>
      <c r="K54" s="53">
        <v>2E-3</v>
      </c>
      <c r="L54" s="59">
        <f>K54*(L37+L44)</f>
        <v>8.1214379099999991</v>
      </c>
      <c r="M54" s="53">
        <v>2E-3</v>
      </c>
      <c r="N54" s="59">
        <f>M54*(N37+N44)</f>
        <v>8.5274796979999987</v>
      </c>
      <c r="O54" s="42"/>
      <c r="P54" s="53">
        <v>2E-3</v>
      </c>
      <c r="Q54" s="52">
        <f>P54*(Q37+Q44)</f>
        <v>6.7436999999999996</v>
      </c>
      <c r="S54" s="53">
        <v>2E-3</v>
      </c>
      <c r="T54" s="52">
        <f>S54*(T37+T44)</f>
        <v>9.4411466666666666</v>
      </c>
      <c r="V54" s="228">
        <v>2E-3</v>
      </c>
      <c r="W54" s="227">
        <v>0</v>
      </c>
      <c r="Y54" s="53">
        <v>2E-3</v>
      </c>
      <c r="Z54" s="59">
        <f>Y54*(Z37+Z44)</f>
        <v>6.7436999999999996</v>
      </c>
    </row>
    <row r="55" spans="1:26" ht="13.5" thickBot="1" x14ac:dyDescent="0.25">
      <c r="A55" s="42"/>
      <c r="B55" s="80" t="s">
        <v>12</v>
      </c>
      <c r="C55" s="383" t="s">
        <v>43</v>
      </c>
      <c r="D55" s="451"/>
      <c r="E55" s="53">
        <v>0.08</v>
      </c>
      <c r="F55" s="59">
        <f t="shared" si="1"/>
        <v>274.62375479999997</v>
      </c>
      <c r="G55" s="53">
        <v>0.08</v>
      </c>
      <c r="H55" s="55">
        <f t="shared" si="2"/>
        <v>282.86213024</v>
      </c>
      <c r="I55" s="53">
        <v>0.08</v>
      </c>
      <c r="J55" s="59">
        <f t="shared" si="0"/>
        <v>306.90477544000004</v>
      </c>
      <c r="K55" s="53">
        <v>0.08</v>
      </c>
      <c r="L55" s="59">
        <f>K55*(L37+L44)</f>
        <v>324.85751640000001</v>
      </c>
      <c r="M55" s="53">
        <v>0.08</v>
      </c>
      <c r="N55" s="59">
        <f>M55*(N37+N44)</f>
        <v>341.09918791999996</v>
      </c>
      <c r="O55" s="42"/>
      <c r="P55" s="53">
        <v>0.08</v>
      </c>
      <c r="Q55" s="59">
        <f>P55*(Q37+Q44)</f>
        <v>269.74799999999999</v>
      </c>
      <c r="S55" s="53">
        <v>0.08</v>
      </c>
      <c r="T55" s="59">
        <f>S55*(T37+T44)</f>
        <v>377.64586666666662</v>
      </c>
      <c r="V55" s="228">
        <v>0.08</v>
      </c>
      <c r="W55" s="229">
        <v>0</v>
      </c>
      <c r="Y55" s="53">
        <v>0.08</v>
      </c>
      <c r="Z55" s="59">
        <f>Y55*(Z37+Z44)</f>
        <v>269.74799999999999</v>
      </c>
    </row>
    <row r="56" spans="1:26" ht="13.5" customHeight="1" thickBot="1" x14ac:dyDescent="0.3">
      <c r="A56" s="42"/>
      <c r="B56" s="369" t="s">
        <v>16</v>
      </c>
      <c r="C56" s="370"/>
      <c r="D56" s="371"/>
      <c r="E56" s="90">
        <f t="shared" ref="E56:N56" si="3">SUM(E48:E55)</f>
        <v>0.35300000000000004</v>
      </c>
      <c r="F56" s="5">
        <f t="shared" si="3"/>
        <v>1211.777318055</v>
      </c>
      <c r="G56" s="90">
        <f t="shared" si="3"/>
        <v>0.35300000000000004</v>
      </c>
      <c r="H56" s="5">
        <f t="shared" si="3"/>
        <v>1248.1291496840001</v>
      </c>
      <c r="I56" s="90">
        <f>SUM(I48:I55)</f>
        <v>0.35300000000000004</v>
      </c>
      <c r="J56" s="5">
        <f>SUM(J48:J55)</f>
        <v>1354.2173216290003</v>
      </c>
      <c r="K56" s="90">
        <f t="shared" ref="K56:L56" si="4">SUM(K48:K55)</f>
        <v>0.35300000000000004</v>
      </c>
      <c r="L56" s="5">
        <f t="shared" si="4"/>
        <v>1433.4337911150001</v>
      </c>
      <c r="M56" s="90">
        <f t="shared" si="3"/>
        <v>0.35300000000000004</v>
      </c>
      <c r="N56" s="5">
        <f t="shared" si="3"/>
        <v>1505.1001666969996</v>
      </c>
      <c r="O56" s="42"/>
      <c r="P56" s="90">
        <f>SUM(P48:P55)</f>
        <v>0.35300000000000004</v>
      </c>
      <c r="Q56" s="5">
        <f>SUM(Q48:Q55)</f>
        <v>1190.26305</v>
      </c>
      <c r="S56" s="90">
        <f>SUM(S48:S55)</f>
        <v>0.35300000000000004</v>
      </c>
      <c r="T56" s="5">
        <f>SUM(T48:T55)</f>
        <v>1666.3623866666662</v>
      </c>
      <c r="V56" s="220">
        <f>SUM(V48:V55)</f>
        <v>0.35300000000000004</v>
      </c>
      <c r="W56" s="214">
        <f>V56*W44</f>
        <v>125.40365948</v>
      </c>
      <c r="Y56" s="90">
        <f>SUM(Y48:Y55)</f>
        <v>0.35300000000000004</v>
      </c>
      <c r="Z56" s="5">
        <f>SUM(Z48:Z55)</f>
        <v>1190.26305</v>
      </c>
    </row>
    <row r="57" spans="1:26" ht="13.5" thickBot="1" x14ac:dyDescent="0.25">
      <c r="A57" s="42"/>
      <c r="B57" s="42"/>
      <c r="C57" s="42"/>
      <c r="D57" s="42"/>
      <c r="E57" s="42"/>
      <c r="F57" s="83"/>
      <c r="G57" s="42"/>
      <c r="H57" s="79"/>
      <c r="I57" s="42"/>
      <c r="J57" s="42"/>
      <c r="K57" s="42"/>
      <c r="L57" s="42"/>
      <c r="M57" s="42"/>
      <c r="N57" s="42"/>
      <c r="O57" s="42"/>
      <c r="P57" s="42"/>
      <c r="Q57" s="42"/>
      <c r="S57" s="42"/>
      <c r="T57" s="42"/>
      <c r="V57" s="261"/>
      <c r="W57" s="198"/>
      <c r="Y57" s="42"/>
      <c r="Z57" s="42"/>
    </row>
    <row r="58" spans="1:26" ht="15.75" thickBot="1" x14ac:dyDescent="0.3">
      <c r="A58" s="42"/>
      <c r="B58" s="369" t="s">
        <v>96</v>
      </c>
      <c r="C58" s="370"/>
      <c r="D58" s="370"/>
      <c r="E58" s="370"/>
      <c r="F58" s="370"/>
      <c r="G58" s="370"/>
      <c r="H58" s="370"/>
      <c r="I58" s="370"/>
      <c r="J58" s="370"/>
      <c r="K58" s="370"/>
      <c r="L58" s="370"/>
      <c r="M58" s="370"/>
      <c r="N58" s="371"/>
      <c r="O58" s="42"/>
      <c r="P58" s="42"/>
      <c r="Q58" s="42"/>
      <c r="S58" s="42"/>
      <c r="T58" s="42"/>
      <c r="V58" s="198"/>
      <c r="W58" s="198"/>
      <c r="Y58" s="42"/>
      <c r="Z58" s="42"/>
    </row>
    <row r="59" spans="1:26" ht="15.75" thickBot="1" x14ac:dyDescent="0.3">
      <c r="A59" s="42"/>
      <c r="B59" s="65" t="s">
        <v>97</v>
      </c>
      <c r="C59" s="441" t="s">
        <v>58</v>
      </c>
      <c r="D59" s="447"/>
      <c r="E59" s="91"/>
      <c r="F59" s="66" t="s">
        <v>77</v>
      </c>
      <c r="G59" s="86"/>
      <c r="H59" s="66" t="s">
        <v>78</v>
      </c>
      <c r="I59" s="86"/>
      <c r="J59" s="66" t="s">
        <v>79</v>
      </c>
      <c r="K59" s="86"/>
      <c r="L59" s="66" t="s">
        <v>79</v>
      </c>
      <c r="M59" s="86"/>
      <c r="N59" s="66" t="s">
        <v>79</v>
      </c>
      <c r="O59" s="42"/>
      <c r="P59" s="86"/>
      <c r="Q59" s="66" t="s">
        <v>79</v>
      </c>
      <c r="S59" s="86"/>
      <c r="T59" s="66" t="s">
        <v>79</v>
      </c>
      <c r="V59" s="203"/>
      <c r="W59" s="215" t="s">
        <v>79</v>
      </c>
      <c r="Y59" s="86"/>
      <c r="Z59" s="66" t="s">
        <v>79</v>
      </c>
    </row>
    <row r="60" spans="1:26" x14ac:dyDescent="0.2">
      <c r="A60" s="42"/>
      <c r="B60" s="70" t="s">
        <v>1</v>
      </c>
      <c r="C60" s="432" t="s">
        <v>36</v>
      </c>
      <c r="D60" s="445"/>
      <c r="E60" s="92">
        <v>5.5</v>
      </c>
      <c r="F60" s="50">
        <f>E60*15*2-(6%*F30)</f>
        <v>33.441000000000003</v>
      </c>
      <c r="G60" s="92">
        <v>5.5</v>
      </c>
      <c r="H60" s="50">
        <f>G60*15*2-(6%*H30)</f>
        <v>29.494200000000006</v>
      </c>
      <c r="I60" s="92">
        <v>5.5</v>
      </c>
      <c r="J60" s="46">
        <f>I60*15*2-(6%*J30)</f>
        <v>17.976600000000019</v>
      </c>
      <c r="K60" s="92">
        <v>5.5</v>
      </c>
      <c r="L60" s="46">
        <f>K60*15*2-(6%*L30)</f>
        <v>9.3762000000000114</v>
      </c>
      <c r="M60" s="92">
        <v>5.5</v>
      </c>
      <c r="N60" s="46">
        <f>M60*15*2-(6%*N30)</f>
        <v>1.5954000000000121</v>
      </c>
      <c r="O60" s="42"/>
      <c r="P60" s="92">
        <v>5.5</v>
      </c>
      <c r="Q60" s="46">
        <f>P60*15*2-(6%*Q30)</f>
        <v>9.3762000000000114</v>
      </c>
      <c r="S60" s="92">
        <v>0</v>
      </c>
      <c r="T60" s="46">
        <f>S60*15*2-(6%*T30)</f>
        <v>0</v>
      </c>
      <c r="V60" s="230">
        <v>0</v>
      </c>
      <c r="W60" s="223">
        <f>V60*15*2-(6%*W30)*0</f>
        <v>0</v>
      </c>
      <c r="Y60" s="92">
        <v>5.5</v>
      </c>
      <c r="Z60" s="46">
        <f>Y60*15*2-(6%*Z30)</f>
        <v>9.3762000000000114</v>
      </c>
    </row>
    <row r="61" spans="1:26" x14ac:dyDescent="0.2">
      <c r="A61" s="42"/>
      <c r="B61" s="71" t="s">
        <v>2</v>
      </c>
      <c r="C61" s="409" t="s">
        <v>98</v>
      </c>
      <c r="D61" s="415"/>
      <c r="E61" s="93">
        <v>37.5</v>
      </c>
      <c r="F61" s="52">
        <f>E61*15</f>
        <v>562.5</v>
      </c>
      <c r="G61" s="93">
        <v>39.29</v>
      </c>
      <c r="H61" s="52">
        <f>G61*15</f>
        <v>589.35</v>
      </c>
      <c r="I61" s="93">
        <v>42.63</v>
      </c>
      <c r="J61" s="52">
        <f>I61*15</f>
        <v>639.45000000000005</v>
      </c>
      <c r="K61" s="93">
        <v>45.12</v>
      </c>
      <c r="L61" s="52">
        <f>K61*15</f>
        <v>676.8</v>
      </c>
      <c r="M61" s="310">
        <v>47.37</v>
      </c>
      <c r="N61" s="311">
        <f>M61*15</f>
        <v>710.55</v>
      </c>
      <c r="O61" s="42"/>
      <c r="P61" s="93">
        <v>45.12</v>
      </c>
      <c r="Q61" s="52">
        <f>P61*15</f>
        <v>676.8</v>
      </c>
      <c r="S61" s="93">
        <v>0</v>
      </c>
      <c r="T61" s="52">
        <f>S61*15</f>
        <v>0</v>
      </c>
      <c r="V61" s="231">
        <v>0</v>
      </c>
      <c r="W61" s="227">
        <f>V61*15</f>
        <v>0</v>
      </c>
      <c r="Y61" s="93">
        <v>45.12</v>
      </c>
      <c r="Z61" s="52">
        <f>Y61*15</f>
        <v>676.8</v>
      </c>
    </row>
    <row r="62" spans="1:26" x14ac:dyDescent="0.2">
      <c r="A62" s="42"/>
      <c r="B62" s="71" t="s">
        <v>159</v>
      </c>
      <c r="C62" s="409" t="s">
        <v>160</v>
      </c>
      <c r="D62" s="415"/>
      <c r="E62" s="93">
        <f>E61*0.02</f>
        <v>0.75</v>
      </c>
      <c r="F62" s="52">
        <f>E62*-15</f>
        <v>-11.25</v>
      </c>
      <c r="G62" s="93">
        <f>G61*0.02</f>
        <v>0.78580000000000005</v>
      </c>
      <c r="H62" s="52">
        <f>G62*-15</f>
        <v>-11.787000000000001</v>
      </c>
      <c r="I62" s="93">
        <f>I61*0.02</f>
        <v>0.85260000000000002</v>
      </c>
      <c r="J62" s="52">
        <f>I62*-15</f>
        <v>-12.789</v>
      </c>
      <c r="K62" s="93">
        <f>K61*0.02</f>
        <v>0.90239999999999998</v>
      </c>
      <c r="L62" s="52">
        <f>K62*-15</f>
        <v>-13.536</v>
      </c>
      <c r="M62" s="93">
        <f>M61*0.02</f>
        <v>0.94740000000000002</v>
      </c>
      <c r="N62" s="52">
        <f>M62*-15</f>
        <v>-14.211</v>
      </c>
      <c r="O62" s="42"/>
      <c r="P62" s="93">
        <f>P61*0.02</f>
        <v>0.90239999999999998</v>
      </c>
      <c r="Q62" s="52">
        <f>P62*-15</f>
        <v>-13.536</v>
      </c>
      <c r="S62" s="93">
        <f>S61*0.02</f>
        <v>0</v>
      </c>
      <c r="T62" s="52">
        <f>S62*-15</f>
        <v>0</v>
      </c>
      <c r="V62" s="231">
        <v>0</v>
      </c>
      <c r="W62" s="227">
        <f>V62*-15</f>
        <v>0</v>
      </c>
      <c r="Y62" s="93">
        <f>Y61*0.02</f>
        <v>0.90239999999999998</v>
      </c>
      <c r="Z62" s="52">
        <f>Y62*-15</f>
        <v>-13.536</v>
      </c>
    </row>
    <row r="63" spans="1:26" ht="13.5" thickBot="1" x14ac:dyDescent="0.25">
      <c r="A63" s="42"/>
      <c r="B63" s="71" t="s">
        <v>4</v>
      </c>
      <c r="C63" s="409" t="s">
        <v>161</v>
      </c>
      <c r="D63" s="415"/>
      <c r="E63" s="93"/>
      <c r="F63" s="52">
        <v>10.9</v>
      </c>
      <c r="G63" s="93"/>
      <c r="H63" s="52">
        <v>10.9</v>
      </c>
      <c r="I63" s="93"/>
      <c r="J63" s="52">
        <v>10.9</v>
      </c>
      <c r="K63" s="93"/>
      <c r="L63" s="52">
        <v>10.9</v>
      </c>
      <c r="M63" s="93"/>
      <c r="N63" s="52">
        <v>10.9</v>
      </c>
      <c r="O63" s="42"/>
      <c r="P63" s="93"/>
      <c r="Q63" s="52">
        <v>10.9</v>
      </c>
      <c r="S63" s="93"/>
      <c r="T63" s="52">
        <v>0</v>
      </c>
      <c r="V63" s="231"/>
      <c r="W63" s="227">
        <v>0</v>
      </c>
      <c r="Y63" s="93"/>
      <c r="Z63" s="52">
        <v>10.9</v>
      </c>
    </row>
    <row r="64" spans="1:26" ht="15.75" thickBot="1" x14ac:dyDescent="0.3">
      <c r="A64" s="42"/>
      <c r="B64" s="369" t="s">
        <v>16</v>
      </c>
      <c r="C64" s="370"/>
      <c r="D64" s="370"/>
      <c r="E64" s="371"/>
      <c r="F64" s="5">
        <f>SUM(F60:F63)</f>
        <v>595.59100000000001</v>
      </c>
      <c r="G64" s="8"/>
      <c r="H64" s="5">
        <f>SUM(H60:H63)</f>
        <v>617.95719999999994</v>
      </c>
      <c r="I64" s="8"/>
      <c r="J64" s="5">
        <f>SUM(J60:J63)</f>
        <v>655.5376</v>
      </c>
      <c r="K64" s="8"/>
      <c r="L64" s="5">
        <f>SUM(L60:L63)</f>
        <v>683.54020000000003</v>
      </c>
      <c r="M64" s="8"/>
      <c r="N64" s="5">
        <f>SUM(N60:N63)</f>
        <v>708.83439999999996</v>
      </c>
      <c r="O64" s="42"/>
      <c r="P64" s="8"/>
      <c r="Q64" s="5">
        <f>SUM(Q60:Q63)</f>
        <v>683.54020000000003</v>
      </c>
      <c r="S64" s="8"/>
      <c r="T64" s="5">
        <f>SUM(T60:T63)</f>
        <v>0</v>
      </c>
      <c r="V64" s="232"/>
      <c r="W64" s="214">
        <f>SUM(W60:W63)</f>
        <v>0</v>
      </c>
      <c r="Y64" s="8"/>
      <c r="Z64" s="5">
        <f>SUM(Z60:Z63)</f>
        <v>683.54020000000003</v>
      </c>
    </row>
    <row r="65" spans="1:26" ht="13.5" thickBot="1" x14ac:dyDescent="0.25">
      <c r="A65" s="42"/>
      <c r="B65" s="142"/>
      <c r="C65" s="9"/>
      <c r="D65" s="9"/>
      <c r="E65" s="9"/>
      <c r="F65" s="9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S65" s="42"/>
      <c r="T65" s="42"/>
      <c r="V65" s="198"/>
      <c r="W65" s="198"/>
      <c r="Y65" s="42"/>
      <c r="Z65" s="42"/>
    </row>
    <row r="66" spans="1:26" ht="15.75" thickBot="1" x14ac:dyDescent="0.3">
      <c r="A66" s="73"/>
      <c r="B66" s="369" t="s">
        <v>99</v>
      </c>
      <c r="C66" s="370"/>
      <c r="D66" s="370"/>
      <c r="E66" s="370"/>
      <c r="F66" s="370"/>
      <c r="G66" s="370"/>
      <c r="H66" s="370"/>
      <c r="I66" s="370"/>
      <c r="J66" s="370"/>
      <c r="K66" s="370"/>
      <c r="L66" s="370"/>
      <c r="M66" s="370"/>
      <c r="N66" s="371"/>
      <c r="O66" s="42"/>
      <c r="P66" s="42"/>
      <c r="Q66" s="42"/>
      <c r="S66" s="42"/>
      <c r="T66" s="42"/>
      <c r="V66" s="198"/>
      <c r="W66" s="198"/>
      <c r="Y66" s="42"/>
      <c r="Z66" s="42"/>
    </row>
    <row r="67" spans="1:26" ht="15.75" thickBot="1" x14ac:dyDescent="0.3">
      <c r="A67" s="42"/>
      <c r="B67" s="65">
        <v>2</v>
      </c>
      <c r="C67" s="441" t="s">
        <v>100</v>
      </c>
      <c r="D67" s="447"/>
      <c r="E67" s="134" t="s">
        <v>13</v>
      </c>
      <c r="F67" s="4" t="s">
        <v>35</v>
      </c>
      <c r="G67" s="137" t="s">
        <v>13</v>
      </c>
      <c r="H67" s="4" t="s">
        <v>35</v>
      </c>
      <c r="I67" s="137" t="s">
        <v>13</v>
      </c>
      <c r="J67" s="4" t="s">
        <v>35</v>
      </c>
      <c r="K67" s="137" t="s">
        <v>13</v>
      </c>
      <c r="L67" s="4" t="s">
        <v>35</v>
      </c>
      <c r="M67" s="137" t="s">
        <v>13</v>
      </c>
      <c r="N67" s="4" t="s">
        <v>35</v>
      </c>
      <c r="O67" s="42"/>
      <c r="P67" s="137" t="s">
        <v>13</v>
      </c>
      <c r="Q67" s="4" t="s">
        <v>35</v>
      </c>
      <c r="S67" s="137" t="s">
        <v>13</v>
      </c>
      <c r="T67" s="4" t="s">
        <v>35</v>
      </c>
      <c r="V67" s="233" t="s">
        <v>13</v>
      </c>
      <c r="W67" s="234" t="s">
        <v>35</v>
      </c>
      <c r="Y67" s="137" t="s">
        <v>13</v>
      </c>
      <c r="Z67" s="4" t="s">
        <v>35</v>
      </c>
    </row>
    <row r="68" spans="1:26" x14ac:dyDescent="0.2">
      <c r="A68" s="42"/>
      <c r="B68" s="70" t="s">
        <v>1</v>
      </c>
      <c r="C68" s="432" t="s">
        <v>86</v>
      </c>
      <c r="D68" s="445"/>
      <c r="E68" s="49">
        <f>E44</f>
        <v>0.20429999999999998</v>
      </c>
      <c r="F68" s="55">
        <f>F44</f>
        <v>582.34693499999992</v>
      </c>
      <c r="G68" s="49"/>
      <c r="H68" s="55">
        <f>H44</f>
        <v>599.81662800000004</v>
      </c>
      <c r="I68" s="49"/>
      <c r="J68" s="55">
        <f>J44</f>
        <v>650.79969299999993</v>
      </c>
      <c r="K68" s="49"/>
      <c r="L68" s="55">
        <f>L44</f>
        <v>688.86895499999991</v>
      </c>
      <c r="M68" s="49"/>
      <c r="N68" s="55">
        <f>N44</f>
        <v>723.30984899999999</v>
      </c>
      <c r="O68" s="42"/>
      <c r="P68" s="49"/>
      <c r="Q68" s="55">
        <f>Q44</f>
        <v>0</v>
      </c>
      <c r="S68" s="49"/>
      <c r="T68" s="55">
        <f>T44</f>
        <v>4720.5733333333328</v>
      </c>
      <c r="V68" s="222"/>
      <c r="W68" s="235">
        <f>W44</f>
        <v>355.25115999999997</v>
      </c>
      <c r="Y68" s="49"/>
      <c r="Z68" s="55">
        <f>Z44</f>
        <v>0</v>
      </c>
    </row>
    <row r="69" spans="1:26" x14ac:dyDescent="0.2">
      <c r="A69" s="42"/>
      <c r="B69" s="71" t="s">
        <v>2</v>
      </c>
      <c r="C69" s="409" t="s">
        <v>91</v>
      </c>
      <c r="D69" s="415"/>
      <c r="E69" s="51">
        <f>E56</f>
        <v>0.35300000000000004</v>
      </c>
      <c r="F69" s="52">
        <f>F56</f>
        <v>1211.777318055</v>
      </c>
      <c r="G69" s="51"/>
      <c r="H69" s="52">
        <f>H56</f>
        <v>1248.1291496840001</v>
      </c>
      <c r="I69" s="51"/>
      <c r="J69" s="52">
        <f>J56</f>
        <v>1354.2173216290003</v>
      </c>
      <c r="K69" s="51"/>
      <c r="L69" s="52">
        <f>L56</f>
        <v>1433.4337911150001</v>
      </c>
      <c r="M69" s="51"/>
      <c r="N69" s="52">
        <f>N56</f>
        <v>1505.1001666969996</v>
      </c>
      <c r="O69" s="42"/>
      <c r="P69" s="51"/>
      <c r="Q69" s="52">
        <f>Q56</f>
        <v>1190.26305</v>
      </c>
      <c r="S69" s="51"/>
      <c r="T69" s="52">
        <f>T56</f>
        <v>1666.3623866666662</v>
      </c>
      <c r="V69" s="224"/>
      <c r="W69" s="227">
        <f>W56</f>
        <v>125.40365948</v>
      </c>
      <c r="Y69" s="51"/>
      <c r="Z69" s="52">
        <f>Z56</f>
        <v>1190.26305</v>
      </c>
    </row>
    <row r="70" spans="1:26" ht="13.5" thickBot="1" x14ac:dyDescent="0.25">
      <c r="A70" s="42"/>
      <c r="B70" s="71" t="s">
        <v>4</v>
      </c>
      <c r="C70" s="452" t="s">
        <v>58</v>
      </c>
      <c r="D70" s="453"/>
      <c r="E70" s="51"/>
      <c r="F70" s="52">
        <f>F64</f>
        <v>595.59100000000001</v>
      </c>
      <c r="G70" s="51"/>
      <c r="H70" s="52">
        <f>H64</f>
        <v>617.95719999999994</v>
      </c>
      <c r="I70" s="51"/>
      <c r="J70" s="52">
        <f>J64</f>
        <v>655.5376</v>
      </c>
      <c r="K70" s="51"/>
      <c r="L70" s="52">
        <f>L64</f>
        <v>683.54020000000003</v>
      </c>
      <c r="M70" s="51"/>
      <c r="N70" s="52">
        <f>N64</f>
        <v>708.83439999999996</v>
      </c>
      <c r="O70" s="42"/>
      <c r="P70" s="51"/>
      <c r="Q70" s="52">
        <f>Q64</f>
        <v>683.54020000000003</v>
      </c>
      <c r="S70" s="51"/>
      <c r="T70" s="52">
        <f>T64</f>
        <v>0</v>
      </c>
      <c r="V70" s="224"/>
      <c r="W70" s="227">
        <f>W64</f>
        <v>0</v>
      </c>
      <c r="Y70" s="51"/>
      <c r="Z70" s="52">
        <f>Z64</f>
        <v>683.54020000000003</v>
      </c>
    </row>
    <row r="71" spans="1:26" ht="15.75" thickBot="1" x14ac:dyDescent="0.3">
      <c r="A71" s="42"/>
      <c r="B71" s="369" t="s">
        <v>16</v>
      </c>
      <c r="C71" s="370"/>
      <c r="D71" s="370"/>
      <c r="E71" s="146">
        <f>SUM(E68:E70)</f>
        <v>0.55730000000000002</v>
      </c>
      <c r="F71" s="5">
        <f>SUM(F68:F70)</f>
        <v>2389.7152530549997</v>
      </c>
      <c r="G71" s="56"/>
      <c r="H71" s="5">
        <f>SUM(H68:H70)</f>
        <v>2465.9029776840002</v>
      </c>
      <c r="I71" s="56"/>
      <c r="J71" s="5">
        <f>SUM(J68:J70)</f>
        <v>2660.5546146290003</v>
      </c>
      <c r="K71" s="56"/>
      <c r="L71" s="5">
        <f>SUM(L68:L70)</f>
        <v>2805.8429461149999</v>
      </c>
      <c r="M71" s="56"/>
      <c r="N71" s="5">
        <f>SUM(N68:N70)</f>
        <v>2937.2444156969996</v>
      </c>
      <c r="O71" s="42"/>
      <c r="P71" s="56"/>
      <c r="Q71" s="5">
        <f>SUM(Q68:Q70)</f>
        <v>1873.8032499999999</v>
      </c>
      <c r="S71" s="56"/>
      <c r="T71" s="5">
        <f>SUM(T68:T70)</f>
        <v>6386.9357199999995</v>
      </c>
      <c r="V71" s="236"/>
      <c r="W71" s="214">
        <f>SUM(W68:W70)</f>
        <v>480.65481947999996</v>
      </c>
      <c r="Y71" s="56"/>
      <c r="Z71" s="5">
        <f>SUM(Z68:Z70)</f>
        <v>1873.8032499999999</v>
      </c>
    </row>
    <row r="72" spans="1:26" ht="15.75" thickBot="1" x14ac:dyDescent="0.3">
      <c r="A72" s="42"/>
      <c r="B72" s="135"/>
      <c r="C72" s="135"/>
      <c r="D72" s="135"/>
      <c r="E72" s="87"/>
      <c r="F72" s="25"/>
      <c r="G72" s="42"/>
      <c r="H72" s="25"/>
      <c r="I72" s="42"/>
      <c r="J72" s="25"/>
      <c r="K72" s="42"/>
      <c r="L72" s="25"/>
      <c r="M72" s="42"/>
      <c r="N72" s="25"/>
      <c r="O72" s="42"/>
      <c r="P72" s="42"/>
      <c r="Q72" s="25"/>
      <c r="S72" s="42"/>
      <c r="T72" s="25"/>
      <c r="V72" s="198"/>
      <c r="W72" s="237"/>
      <c r="Y72" s="42"/>
      <c r="Z72" s="25"/>
    </row>
    <row r="73" spans="1:26" ht="15.75" thickBot="1" x14ac:dyDescent="0.3">
      <c r="A73" s="42"/>
      <c r="B73" s="369" t="s">
        <v>101</v>
      </c>
      <c r="C73" s="370"/>
      <c r="D73" s="370"/>
      <c r="E73" s="370"/>
      <c r="F73" s="370"/>
      <c r="G73" s="370"/>
      <c r="H73" s="370"/>
      <c r="I73" s="370"/>
      <c r="J73" s="370"/>
      <c r="K73" s="370"/>
      <c r="L73" s="370"/>
      <c r="M73" s="370"/>
      <c r="N73" s="371"/>
      <c r="O73" s="42"/>
      <c r="P73" s="42"/>
      <c r="Q73" s="42"/>
      <c r="S73" s="42"/>
      <c r="T73" s="42"/>
      <c r="V73" s="198"/>
      <c r="W73" s="198"/>
      <c r="Y73" s="42"/>
      <c r="Z73" s="42"/>
    </row>
    <row r="74" spans="1:26" ht="15.75" thickBot="1" x14ac:dyDescent="0.3">
      <c r="A74" s="42"/>
      <c r="B74" s="65">
        <v>3</v>
      </c>
      <c r="C74" s="441" t="s">
        <v>45</v>
      </c>
      <c r="D74" s="447"/>
      <c r="E74" s="134" t="s">
        <v>13</v>
      </c>
      <c r="F74" s="136" t="s">
        <v>35</v>
      </c>
      <c r="G74" s="4" t="s">
        <v>13</v>
      </c>
      <c r="H74" s="4" t="s">
        <v>35</v>
      </c>
      <c r="I74" s="4" t="s">
        <v>13</v>
      </c>
      <c r="J74" s="138" t="s">
        <v>35</v>
      </c>
      <c r="K74" s="4" t="s">
        <v>13</v>
      </c>
      <c r="L74" s="138" t="s">
        <v>35</v>
      </c>
      <c r="M74" s="4" t="s">
        <v>13</v>
      </c>
      <c r="N74" s="138" t="s">
        <v>35</v>
      </c>
      <c r="O74" s="42"/>
      <c r="P74" s="4" t="s">
        <v>13</v>
      </c>
      <c r="Q74" s="138" t="s">
        <v>35</v>
      </c>
      <c r="S74" s="4" t="s">
        <v>13</v>
      </c>
      <c r="T74" s="138" t="s">
        <v>35</v>
      </c>
      <c r="V74" s="234" t="s">
        <v>13</v>
      </c>
      <c r="W74" s="238" t="s">
        <v>35</v>
      </c>
      <c r="Y74" s="4" t="s">
        <v>13</v>
      </c>
      <c r="Z74" s="138" t="s">
        <v>35</v>
      </c>
    </row>
    <row r="75" spans="1:26" x14ac:dyDescent="0.2">
      <c r="A75" s="42"/>
      <c r="B75" s="70" t="s">
        <v>1</v>
      </c>
      <c r="C75" s="432" t="s">
        <v>104</v>
      </c>
      <c r="D75" s="445"/>
      <c r="E75" s="132">
        <f>1/12*0.01</f>
        <v>8.3333333333333328E-4</v>
      </c>
      <c r="F75" s="59">
        <f t="shared" ref="F75:F80" si="5">$F$37*E75</f>
        <v>2.3753749999999996</v>
      </c>
      <c r="G75" s="132">
        <f>1/12*0.01*3/30</f>
        <v>8.3333333333333317E-5</v>
      </c>
      <c r="H75" s="59">
        <f t="shared" ref="H75:H80" si="6">$H$37*G75</f>
        <v>0.24466333333333329</v>
      </c>
      <c r="I75" s="132">
        <f>1/12*0.01*3/30</f>
        <v>8.3333333333333317E-5</v>
      </c>
      <c r="J75" s="55">
        <f t="shared" ref="J75:J80" si="7">$J$37*I75</f>
        <v>0.26545916666666663</v>
      </c>
      <c r="K75" s="132">
        <f>1/12*0.01*3/30</f>
        <v>8.3333333333333317E-5</v>
      </c>
      <c r="L75" s="55">
        <f>L37*K75</f>
        <v>0.28098749999999995</v>
      </c>
      <c r="M75" s="132">
        <f>1/12*0.01*3/30</f>
        <v>8.3333333333333317E-5</v>
      </c>
      <c r="N75" s="55">
        <f>N37*M75</f>
        <v>0.29503583333333327</v>
      </c>
      <c r="O75" s="42"/>
      <c r="P75" s="132">
        <v>0</v>
      </c>
      <c r="Q75" s="55">
        <f>Q37*P75</f>
        <v>0</v>
      </c>
      <c r="S75" s="132">
        <v>0</v>
      </c>
      <c r="T75" s="55">
        <f>T37*S75</f>
        <v>0</v>
      </c>
      <c r="V75" s="239">
        <f>1/12*0.01*3/30</f>
        <v>8.3333333333333317E-5</v>
      </c>
      <c r="W75" s="235">
        <f>W37*V75</f>
        <v>0.24466333333333329</v>
      </c>
      <c r="Y75" s="132">
        <f>1/12*0.01*3/30</f>
        <v>8.3333333333333317E-5</v>
      </c>
      <c r="Z75" s="55">
        <f>Z37*Y75</f>
        <v>0.28098749999999995</v>
      </c>
    </row>
    <row r="76" spans="1:26" x14ac:dyDescent="0.2">
      <c r="A76" s="42"/>
      <c r="B76" s="71" t="s">
        <v>2</v>
      </c>
      <c r="C76" s="409" t="s">
        <v>67</v>
      </c>
      <c r="D76" s="415"/>
      <c r="E76" s="123">
        <f>E75*E55</f>
        <v>6.666666666666667E-5</v>
      </c>
      <c r="F76" s="59">
        <f t="shared" si="5"/>
        <v>0.19003</v>
      </c>
      <c r="G76" s="123">
        <f>G75*G55</f>
        <v>6.6666666666666658E-6</v>
      </c>
      <c r="H76" s="59">
        <f t="shared" si="6"/>
        <v>1.9573066666666663E-2</v>
      </c>
      <c r="I76" s="123">
        <f>I75*I55</f>
        <v>6.6666666666666658E-6</v>
      </c>
      <c r="J76" s="52">
        <f t="shared" si="7"/>
        <v>2.123673333333333E-2</v>
      </c>
      <c r="K76" s="123">
        <f>K75*K55</f>
        <v>6.6666666666666658E-6</v>
      </c>
      <c r="L76" s="52">
        <f>L37*K76</f>
        <v>2.2478999999999996E-2</v>
      </c>
      <c r="M76" s="123">
        <f>M75*M55</f>
        <v>6.6666666666666658E-6</v>
      </c>
      <c r="N76" s="52">
        <f>N37*M76</f>
        <v>2.3602866666666663E-2</v>
      </c>
      <c r="O76" s="42"/>
      <c r="P76" s="123">
        <f>P75*P55</f>
        <v>0</v>
      </c>
      <c r="Q76" s="52">
        <f>Q37*P76</f>
        <v>0</v>
      </c>
      <c r="S76" s="123">
        <f>S75*S55</f>
        <v>0</v>
      </c>
      <c r="T76" s="52">
        <f>T37*S76</f>
        <v>0</v>
      </c>
      <c r="V76" s="240">
        <f>V75*V55</f>
        <v>6.6666666666666658E-6</v>
      </c>
      <c r="W76" s="227">
        <f>W37*V76</f>
        <v>1.9573066666666663E-2</v>
      </c>
      <c r="Y76" s="123">
        <f>Y75*Y55</f>
        <v>6.6666666666666658E-6</v>
      </c>
      <c r="Z76" s="52">
        <f>Z37*Y76</f>
        <v>2.2478999999999996E-2</v>
      </c>
    </row>
    <row r="77" spans="1:26" x14ac:dyDescent="0.2">
      <c r="A77" s="42"/>
      <c r="B77" s="71" t="s">
        <v>4</v>
      </c>
      <c r="C77" s="409" t="s">
        <v>162</v>
      </c>
      <c r="D77" s="415"/>
      <c r="E77" s="51">
        <f>0.08*0.4*0.95</f>
        <v>3.04E-2</v>
      </c>
      <c r="F77" s="59">
        <f t="shared" si="5"/>
        <v>86.653679999999994</v>
      </c>
      <c r="G77" s="51">
        <f>0.08*0.4*0.95</f>
        <v>3.04E-2</v>
      </c>
      <c r="H77" s="59">
        <f t="shared" si="6"/>
        <v>89.253184000000005</v>
      </c>
      <c r="I77" s="51">
        <f>0.08*0.4*0.95</f>
        <v>3.04E-2</v>
      </c>
      <c r="J77" s="52">
        <f t="shared" si="7"/>
        <v>96.839504000000005</v>
      </c>
      <c r="K77" s="51">
        <f>0.08*0.4*0.95</f>
        <v>3.04E-2</v>
      </c>
      <c r="L77" s="52">
        <f>L37*K77</f>
        <v>102.50424</v>
      </c>
      <c r="M77" s="51">
        <f>0.08*0.4*0.95</f>
        <v>3.04E-2</v>
      </c>
      <c r="N77" s="52">
        <f>N37*M77</f>
        <v>107.62907199999999</v>
      </c>
      <c r="O77" s="42"/>
      <c r="P77" s="51">
        <v>0</v>
      </c>
      <c r="Q77" s="52">
        <f>Q37*P77</f>
        <v>0</v>
      </c>
      <c r="S77" s="51">
        <v>0</v>
      </c>
      <c r="T77" s="52">
        <f>T37*S77</f>
        <v>0</v>
      </c>
      <c r="V77" s="224">
        <f>0.08*0.4*0.95</f>
        <v>3.04E-2</v>
      </c>
      <c r="W77" s="227">
        <f>W37*V77</f>
        <v>89.253184000000005</v>
      </c>
      <c r="Y77" s="51">
        <f>0.08*0.4*0.95</f>
        <v>3.04E-2</v>
      </c>
      <c r="Z77" s="52">
        <f>Z37*Y77</f>
        <v>102.50424</v>
      </c>
    </row>
    <row r="78" spans="1:26" x14ac:dyDescent="0.2">
      <c r="A78" s="42"/>
      <c r="B78" s="71" t="s">
        <v>5</v>
      </c>
      <c r="C78" s="409" t="s">
        <v>102</v>
      </c>
      <c r="D78" s="415"/>
      <c r="E78" s="102">
        <f>7/30/12*0.01</f>
        <v>1.9444444444444446E-4</v>
      </c>
      <c r="F78" s="59">
        <f t="shared" si="5"/>
        <v>0.55425416666666671</v>
      </c>
      <c r="G78" s="102">
        <f>7/30/12*0.01*3/30</f>
        <v>1.9444444444444445E-5</v>
      </c>
      <c r="H78" s="59">
        <f t="shared" si="6"/>
        <v>5.7088111111111117E-2</v>
      </c>
      <c r="I78" s="102">
        <f>7/30/12*0.01*3/30</f>
        <v>1.9444444444444445E-5</v>
      </c>
      <c r="J78" s="52">
        <f t="shared" si="7"/>
        <v>6.194047222222223E-2</v>
      </c>
      <c r="K78" s="102">
        <f>7/30/12*0.01*3/30</f>
        <v>1.9444444444444445E-5</v>
      </c>
      <c r="L78" s="52">
        <f>L37*K78</f>
        <v>6.5563750000000004E-2</v>
      </c>
      <c r="M78" s="102">
        <f>7/30/12*0.01*3/30</f>
        <v>1.9444444444444445E-5</v>
      </c>
      <c r="N78" s="52">
        <f>N37*M78</f>
        <v>6.8841694444444448E-2</v>
      </c>
      <c r="O78" s="42"/>
      <c r="P78" s="102">
        <v>0</v>
      </c>
      <c r="Q78" s="52">
        <f>Q37*P78</f>
        <v>0</v>
      </c>
      <c r="S78" s="102">
        <v>0</v>
      </c>
      <c r="T78" s="52">
        <f>T37*S78</f>
        <v>0</v>
      </c>
      <c r="V78" s="241">
        <v>0</v>
      </c>
      <c r="W78" s="227">
        <f>W37*V78</f>
        <v>0</v>
      </c>
      <c r="Y78" s="102">
        <f>7/30/12*0.01*3/30</f>
        <v>1.9444444444444445E-5</v>
      </c>
      <c r="Z78" s="52">
        <f>Z37*Y78</f>
        <v>6.5563750000000004E-2</v>
      </c>
    </row>
    <row r="79" spans="1:26" x14ac:dyDescent="0.2">
      <c r="A79" s="42"/>
      <c r="B79" s="71" t="s">
        <v>6</v>
      </c>
      <c r="C79" s="409" t="s">
        <v>103</v>
      </c>
      <c r="D79" s="415"/>
      <c r="E79" s="123">
        <f>E78*E56</f>
        <v>6.8638888888888902E-5</v>
      </c>
      <c r="F79" s="59">
        <f t="shared" si="5"/>
        <v>0.19565172083333335</v>
      </c>
      <c r="G79" s="123">
        <f>G78*G56</f>
        <v>6.8638888888888899E-6</v>
      </c>
      <c r="H79" s="59">
        <f t="shared" si="6"/>
        <v>2.0152103222222224E-2</v>
      </c>
      <c r="I79" s="123">
        <f>I78*I56</f>
        <v>6.8638888888888899E-6</v>
      </c>
      <c r="J79" s="52">
        <f t="shared" si="7"/>
        <v>2.1864986694444449E-2</v>
      </c>
      <c r="K79" s="123">
        <f>K78*K56</f>
        <v>6.8638888888888899E-6</v>
      </c>
      <c r="L79" s="52">
        <f>L37*K79</f>
        <v>2.3144003750000003E-2</v>
      </c>
      <c r="M79" s="123">
        <f>M78*M56</f>
        <v>6.8638888888888899E-6</v>
      </c>
      <c r="N79" s="52">
        <f>N37*M79</f>
        <v>2.430111813888889E-2</v>
      </c>
      <c r="O79" s="42"/>
      <c r="P79" s="123">
        <f>P78*P56</f>
        <v>0</v>
      </c>
      <c r="Q79" s="52">
        <f>Q37*P79</f>
        <v>0</v>
      </c>
      <c r="S79" s="123">
        <f>S78*S56</f>
        <v>0</v>
      </c>
      <c r="T79" s="52">
        <f>T37*S79</f>
        <v>0</v>
      </c>
      <c r="V79" s="240">
        <f>V78*V56</f>
        <v>0</v>
      </c>
      <c r="W79" s="227">
        <f>W37*V79</f>
        <v>0</v>
      </c>
      <c r="Y79" s="123">
        <f>Y78*Y56</f>
        <v>6.8638888888888899E-6</v>
      </c>
      <c r="Z79" s="52">
        <f>Z37*Y79</f>
        <v>2.3144003750000003E-2</v>
      </c>
    </row>
    <row r="80" spans="1:26" ht="13.5" thickBot="1" x14ac:dyDescent="0.25">
      <c r="A80" s="42"/>
      <c r="B80" s="80" t="s">
        <v>7</v>
      </c>
      <c r="C80" s="378" t="s">
        <v>163</v>
      </c>
      <c r="D80" s="446"/>
      <c r="E80" s="144">
        <f>E78*0.4</f>
        <v>7.7777777777777795E-5</v>
      </c>
      <c r="F80" s="82">
        <f t="shared" si="5"/>
        <v>0.22170166666666671</v>
      </c>
      <c r="G80" s="144">
        <f>G78*0.4</f>
        <v>7.7777777777777792E-6</v>
      </c>
      <c r="H80" s="59">
        <f t="shared" si="6"/>
        <v>2.2835244444444448E-2</v>
      </c>
      <c r="I80" s="144">
        <f>I78*0.4</f>
        <v>7.7777777777777792E-6</v>
      </c>
      <c r="J80" s="52">
        <f t="shared" si="7"/>
        <v>2.4776188888888894E-2</v>
      </c>
      <c r="K80" s="144">
        <f>K78*0.4</f>
        <v>7.7777777777777792E-6</v>
      </c>
      <c r="L80" s="52">
        <f>L37*K80</f>
        <v>2.6225500000000002E-2</v>
      </c>
      <c r="M80" s="144">
        <f>M78*0.4</f>
        <v>7.7777777777777792E-6</v>
      </c>
      <c r="N80" s="52">
        <f>N37*M80</f>
        <v>2.7536677777777782E-2</v>
      </c>
      <c r="O80" s="42"/>
      <c r="P80" s="144">
        <f>P78*0.4</f>
        <v>0</v>
      </c>
      <c r="Q80" s="52">
        <f>Q37*P80</f>
        <v>0</v>
      </c>
      <c r="S80" s="144">
        <f>S78*0.4</f>
        <v>0</v>
      </c>
      <c r="T80" s="52">
        <f>T37*S80</f>
        <v>0</v>
      </c>
      <c r="V80" s="242">
        <f>M78*0.4</f>
        <v>7.7777777777777792E-6</v>
      </c>
      <c r="W80" s="227">
        <f>W37*V80</f>
        <v>2.2835244444444448E-2</v>
      </c>
      <c r="Y80" s="144">
        <f>Y78*0.4</f>
        <v>7.7777777777777792E-6</v>
      </c>
      <c r="Z80" s="52">
        <f>Z37*Y80</f>
        <v>2.6225500000000002E-2</v>
      </c>
    </row>
    <row r="81" spans="1:26" ht="15.75" thickBot="1" x14ac:dyDescent="0.3">
      <c r="A81" s="42"/>
      <c r="B81" s="369" t="s">
        <v>16</v>
      </c>
      <c r="C81" s="370"/>
      <c r="D81" s="370"/>
      <c r="E81" s="146">
        <f>SUM(E75:E80)</f>
        <v>3.1640861111111113E-2</v>
      </c>
      <c r="F81" s="5">
        <f>SUM(F75:F80)</f>
        <v>90.19069255416666</v>
      </c>
      <c r="G81" s="60"/>
      <c r="H81" s="13">
        <f>SUM(H75:H80)</f>
        <v>89.617495858777787</v>
      </c>
      <c r="I81" s="41"/>
      <c r="J81" s="5">
        <f>SUM(J75:J80)</f>
        <v>97.234781547805554</v>
      </c>
      <c r="K81" s="41"/>
      <c r="L81" s="5">
        <f>SUM(L75:L80)</f>
        <v>102.92263975374999</v>
      </c>
      <c r="M81" s="41"/>
      <c r="N81" s="5">
        <f>SUM(N75:N80)</f>
        <v>108.0683901903611</v>
      </c>
      <c r="O81" s="42"/>
      <c r="P81" s="41"/>
      <c r="Q81" s="5">
        <f>SUM(Q75:Q80)</f>
        <v>0</v>
      </c>
      <c r="S81" s="41"/>
      <c r="T81" s="5">
        <f>SUM(T75:T80)</f>
        <v>0</v>
      </c>
      <c r="V81" s="213"/>
      <c r="W81" s="214">
        <f>SUM(W75:W80)</f>
        <v>89.540255644444457</v>
      </c>
      <c r="Y81" s="41"/>
      <c r="Z81" s="5">
        <f>SUM(Z75:Z80)</f>
        <v>102.92263975374999</v>
      </c>
    </row>
    <row r="82" spans="1:26" ht="15.75" thickBot="1" x14ac:dyDescent="0.3">
      <c r="A82" s="42"/>
      <c r="B82" s="135"/>
      <c r="C82" s="135"/>
      <c r="D82" s="135"/>
      <c r="E82" s="135"/>
      <c r="F82" s="25"/>
      <c r="G82" s="42"/>
      <c r="H82" s="25"/>
      <c r="I82" s="42"/>
      <c r="J82" s="25"/>
      <c r="K82" s="42"/>
      <c r="L82" s="25"/>
      <c r="M82" s="42"/>
      <c r="N82" s="25"/>
      <c r="O82" s="42"/>
      <c r="P82" s="42"/>
      <c r="Q82" s="25"/>
      <c r="S82" s="42"/>
      <c r="T82" s="25"/>
      <c r="V82" s="198"/>
      <c r="W82" s="237"/>
      <c r="Y82" s="42"/>
      <c r="Z82" s="25"/>
    </row>
    <row r="83" spans="1:26" ht="15.75" thickBot="1" x14ac:dyDescent="0.3">
      <c r="A83" s="42"/>
      <c r="B83" s="369" t="s">
        <v>105</v>
      </c>
      <c r="C83" s="370"/>
      <c r="D83" s="370"/>
      <c r="E83" s="370"/>
      <c r="F83" s="370"/>
      <c r="G83" s="370"/>
      <c r="H83" s="370"/>
      <c r="I83" s="370"/>
      <c r="J83" s="370"/>
      <c r="K83" s="370"/>
      <c r="L83" s="370"/>
      <c r="M83" s="370"/>
      <c r="N83" s="371"/>
      <c r="O83" s="42"/>
      <c r="P83" s="42"/>
      <c r="Q83" s="42"/>
      <c r="S83" s="42"/>
      <c r="T83" s="42"/>
      <c r="V83" s="198"/>
      <c r="W83" s="198"/>
      <c r="Y83" s="42"/>
      <c r="Z83" s="42"/>
    </row>
    <row r="84" spans="1:26" ht="15.75" thickBot="1" x14ac:dyDescent="0.3">
      <c r="A84" s="42"/>
      <c r="B84" s="369" t="s">
        <v>106</v>
      </c>
      <c r="C84" s="370"/>
      <c r="D84" s="370"/>
      <c r="E84" s="370"/>
      <c r="F84" s="370"/>
      <c r="G84" s="370"/>
      <c r="H84" s="370"/>
      <c r="I84" s="370"/>
      <c r="J84" s="370"/>
      <c r="K84" s="370"/>
      <c r="L84" s="370"/>
      <c r="M84" s="370"/>
      <c r="N84" s="371"/>
      <c r="O84" s="42"/>
      <c r="P84" s="42"/>
      <c r="Q84" s="42"/>
      <c r="S84" s="42"/>
      <c r="T84" s="42"/>
      <c r="V84" s="198"/>
      <c r="W84" s="198"/>
      <c r="Y84" s="42"/>
      <c r="Z84" s="42"/>
    </row>
    <row r="85" spans="1:26" ht="15.75" thickBot="1" x14ac:dyDescent="0.25">
      <c r="A85" s="42"/>
      <c r="B85" s="139" t="s">
        <v>48</v>
      </c>
      <c r="C85" s="441" t="s">
        <v>46</v>
      </c>
      <c r="D85" s="447"/>
      <c r="E85" s="28" t="s">
        <v>13</v>
      </c>
      <c r="F85" s="30" t="s">
        <v>35</v>
      </c>
      <c r="G85" s="95" t="s">
        <v>13</v>
      </c>
      <c r="H85" s="95" t="s">
        <v>35</v>
      </c>
      <c r="I85" s="95" t="s">
        <v>13</v>
      </c>
      <c r="J85" s="31" t="s">
        <v>35</v>
      </c>
      <c r="K85" s="95" t="s">
        <v>13</v>
      </c>
      <c r="L85" s="31" t="s">
        <v>35</v>
      </c>
      <c r="M85" s="95" t="s">
        <v>13</v>
      </c>
      <c r="N85" s="31" t="s">
        <v>35</v>
      </c>
      <c r="O85" s="42"/>
      <c r="P85" s="95" t="s">
        <v>13</v>
      </c>
      <c r="Q85" s="31" t="s">
        <v>35</v>
      </c>
      <c r="S85" s="95" t="s">
        <v>13</v>
      </c>
      <c r="T85" s="31" t="s">
        <v>35</v>
      </c>
      <c r="V85" s="243" t="s">
        <v>13</v>
      </c>
      <c r="W85" s="244" t="s">
        <v>35</v>
      </c>
      <c r="Y85" s="95" t="s">
        <v>13</v>
      </c>
      <c r="Z85" s="31" t="s">
        <v>35</v>
      </c>
    </row>
    <row r="86" spans="1:26" ht="13.5" thickBot="1" x14ac:dyDescent="0.25">
      <c r="A86" s="42"/>
      <c r="B86" s="70" t="s">
        <v>1</v>
      </c>
      <c r="C86" s="432" t="s">
        <v>164</v>
      </c>
      <c r="D86" s="445"/>
      <c r="E86" s="88">
        <f>ROUND((1/12+1/12*1/3)/12,4)</f>
        <v>9.2999999999999992E-3</v>
      </c>
      <c r="F86" s="46">
        <f>$F$37*E86</f>
        <v>26.509184999999995</v>
      </c>
      <c r="G86" s="88">
        <f>ROUND((1/12+1/12*1/3)/12,4)</f>
        <v>9.2999999999999992E-3</v>
      </c>
      <c r="H86" s="61">
        <f>$H$37*G86</f>
        <v>27.304427999999998</v>
      </c>
      <c r="I86" s="88">
        <f>ROUND((1/12+1/12*1/3)/12,4)</f>
        <v>9.2999999999999992E-3</v>
      </c>
      <c r="J86" s="46">
        <f t="shared" ref="J86:J91" si="8">$J$37*I86</f>
        <v>29.625243000000001</v>
      </c>
      <c r="K86" s="88">
        <f>ROUND((1/12+1/12*1/3)/12,4)</f>
        <v>9.2999999999999992E-3</v>
      </c>
      <c r="L86" s="46">
        <f>L37*K86</f>
        <v>31.358204999999998</v>
      </c>
      <c r="M86" s="88">
        <f>ROUND((1/12+1/12*1/3)/12,4)</f>
        <v>9.2999999999999992E-3</v>
      </c>
      <c r="N86" s="46">
        <f>N37*M86</f>
        <v>32.925998999999997</v>
      </c>
      <c r="O86" s="42"/>
      <c r="P86" s="88">
        <v>0</v>
      </c>
      <c r="Q86" s="46">
        <f>Q37*P86</f>
        <v>0</v>
      </c>
      <c r="S86" s="88">
        <f>ROUND((1/12+1/12*1/3)/12,4)</f>
        <v>9.2999999999999992E-3</v>
      </c>
      <c r="T86" s="46">
        <f>N37*S86</f>
        <v>32.925998999999997</v>
      </c>
      <c r="V86" s="216">
        <v>0</v>
      </c>
      <c r="W86" s="223">
        <f>W37*V86</f>
        <v>0</v>
      </c>
      <c r="Y86" s="88">
        <v>0</v>
      </c>
      <c r="Z86" s="46">
        <f>Z37*Y86</f>
        <v>0</v>
      </c>
    </row>
    <row r="87" spans="1:26" x14ac:dyDescent="0.2">
      <c r="A87" s="42"/>
      <c r="B87" s="71" t="s">
        <v>2</v>
      </c>
      <c r="C87" s="409" t="s">
        <v>165</v>
      </c>
      <c r="D87" s="415"/>
      <c r="E87" s="123">
        <f>((2.96/30)/12)*3%</f>
        <v>2.4666666666666668E-4</v>
      </c>
      <c r="F87" s="82">
        <f>$F$37*E87</f>
        <v>0.70311100000000004</v>
      </c>
      <c r="G87" s="123">
        <f>((2.96/30)/12)*3%</f>
        <v>2.4666666666666668E-4</v>
      </c>
      <c r="H87" s="52">
        <f>$H$37*G87</f>
        <v>0.72420346666666668</v>
      </c>
      <c r="I87" s="123">
        <f>((2.96/30)/12)*3%</f>
        <v>2.4666666666666668E-4</v>
      </c>
      <c r="J87" s="52">
        <f t="shared" si="8"/>
        <v>0.78575913333333347</v>
      </c>
      <c r="K87" s="123">
        <f>((2.96/30)/12)*3%</f>
        <v>2.4666666666666668E-4</v>
      </c>
      <c r="L87" s="52">
        <f>L37*K87</f>
        <v>0.83172299999999999</v>
      </c>
      <c r="M87" s="123">
        <f>((2.96/30)/12)*3%</f>
        <v>2.4666666666666668E-4</v>
      </c>
      <c r="N87" s="52">
        <f>N37*M87</f>
        <v>0.87330606666666666</v>
      </c>
      <c r="O87" s="42"/>
      <c r="P87" s="123">
        <v>0</v>
      </c>
      <c r="Q87" s="55">
        <f>Q37*P87</f>
        <v>0</v>
      </c>
      <c r="S87" s="123">
        <v>0</v>
      </c>
      <c r="T87" s="55">
        <f>T37*S87</f>
        <v>0</v>
      </c>
      <c r="V87" s="240">
        <v>0</v>
      </c>
      <c r="W87" s="235">
        <f>W37*V87</f>
        <v>0</v>
      </c>
      <c r="X87" s="195"/>
      <c r="Y87" s="88">
        <v>0</v>
      </c>
      <c r="Z87" s="52">
        <f>(Z37+Z71+Z81)/30</f>
        <v>178.28586299179162</v>
      </c>
    </row>
    <row r="88" spans="1:26" x14ac:dyDescent="0.2">
      <c r="A88" s="42"/>
      <c r="B88" s="71" t="s">
        <v>4</v>
      </c>
      <c r="C88" s="409" t="s">
        <v>166</v>
      </c>
      <c r="D88" s="415"/>
      <c r="E88" s="51">
        <f>ROUND(5/30/12*1.5%,4)</f>
        <v>2.0000000000000001E-4</v>
      </c>
      <c r="F88" s="52">
        <f>$F$37*E88</f>
        <v>0.57008999999999999</v>
      </c>
      <c r="G88" s="51">
        <f>ROUND(5/30/12*1.5%,4)</f>
        <v>2.0000000000000001E-4</v>
      </c>
      <c r="H88" s="52">
        <f>$H$37*G88</f>
        <v>0.58719200000000005</v>
      </c>
      <c r="I88" s="51">
        <f>ROUND(5/30/12*1.5%,4)</f>
        <v>2.0000000000000001E-4</v>
      </c>
      <c r="J88" s="52">
        <f t="shared" si="8"/>
        <v>0.63710200000000006</v>
      </c>
      <c r="K88" s="51">
        <f>ROUND(5/30/12*1.5%,4)</f>
        <v>2.0000000000000001E-4</v>
      </c>
      <c r="L88" s="52">
        <f>L37*K88</f>
        <v>0.67437000000000002</v>
      </c>
      <c r="M88" s="51">
        <f>ROUND(5/30/12*1.5%,4)</f>
        <v>2.0000000000000001E-4</v>
      </c>
      <c r="N88" s="52">
        <f>N37*M88</f>
        <v>0.70808599999999999</v>
      </c>
      <c r="O88" s="42"/>
      <c r="P88" s="51">
        <v>0</v>
      </c>
      <c r="Q88" s="81">
        <f>Q37*P88</f>
        <v>0</v>
      </c>
      <c r="S88" s="51">
        <v>0</v>
      </c>
      <c r="T88" s="81">
        <f>T37*S88</f>
        <v>0</v>
      </c>
      <c r="V88" s="224">
        <v>0</v>
      </c>
      <c r="W88" s="225">
        <f>W37*V88</f>
        <v>0</v>
      </c>
      <c r="Y88" s="51">
        <v>0</v>
      </c>
      <c r="Z88" s="52">
        <f>Z37*Y88</f>
        <v>0</v>
      </c>
    </row>
    <row r="89" spans="1:26" x14ac:dyDescent="0.2">
      <c r="A89" s="42"/>
      <c r="B89" s="71" t="s">
        <v>5</v>
      </c>
      <c r="C89" s="454" t="s">
        <v>167</v>
      </c>
      <c r="D89" s="455"/>
      <c r="E89" s="34">
        <f>ROUND(15/30/12*0.01,4)</f>
        <v>4.0000000000000002E-4</v>
      </c>
      <c r="F89" s="84">
        <f>$F$37*E89</f>
        <v>1.14018</v>
      </c>
      <c r="G89" s="34">
        <f>ROUND(15/30/12*0.01,4)</f>
        <v>4.0000000000000002E-4</v>
      </c>
      <c r="H89" s="52">
        <f>$H$37*G89</f>
        <v>1.1743840000000001</v>
      </c>
      <c r="I89" s="34">
        <f>ROUND(15/30/12*0.01,4)</f>
        <v>4.0000000000000002E-4</v>
      </c>
      <c r="J89" s="52">
        <f t="shared" si="8"/>
        <v>1.2742040000000001</v>
      </c>
      <c r="K89" s="34">
        <f>ROUND(15/30/12*0.01,4)</f>
        <v>4.0000000000000002E-4</v>
      </c>
      <c r="L89" s="52">
        <f>L37*K89</f>
        <v>1.34874</v>
      </c>
      <c r="M89" s="34">
        <f>ROUND(15/30/12*0.01,4)</f>
        <v>4.0000000000000002E-4</v>
      </c>
      <c r="N89" s="52">
        <f>N37*M89</f>
        <v>1.416172</v>
      </c>
      <c r="O89" s="42"/>
      <c r="P89" s="34">
        <v>0</v>
      </c>
      <c r="Q89" s="52">
        <f>Q37*P89</f>
        <v>0</v>
      </c>
      <c r="S89" s="34">
        <v>0</v>
      </c>
      <c r="T89" s="52">
        <f>T37*S89</f>
        <v>0</v>
      </c>
      <c r="V89" s="245">
        <v>0</v>
      </c>
      <c r="W89" s="227">
        <f>W37*V89</f>
        <v>0</v>
      </c>
      <c r="Y89" s="34">
        <v>0</v>
      </c>
      <c r="Z89" s="52">
        <f>Z37*Y89</f>
        <v>0</v>
      </c>
    </row>
    <row r="90" spans="1:26" x14ac:dyDescent="0.2">
      <c r="A90" s="42"/>
      <c r="B90" s="71" t="s">
        <v>6</v>
      </c>
      <c r="C90" s="409" t="s">
        <v>168</v>
      </c>
      <c r="D90" s="415"/>
      <c r="E90" s="51">
        <f>ROUND(((1/12*4)+(1.33/12*4))/12*0.0025,4)</f>
        <v>2.0000000000000001E-4</v>
      </c>
      <c r="F90" s="52">
        <f>$F$37*E90</f>
        <v>0.57008999999999999</v>
      </c>
      <c r="G90" s="51">
        <f>ROUND(((1/12*4)+(1.33/12*4))/12*0.0025,4)</f>
        <v>2.0000000000000001E-4</v>
      </c>
      <c r="H90" s="52">
        <f>$H$37*G90</f>
        <v>0.58719200000000005</v>
      </c>
      <c r="I90" s="51">
        <f>ROUND(((1/12*4)+(1.33/12*4))/12*0.0025,4)</f>
        <v>2.0000000000000001E-4</v>
      </c>
      <c r="J90" s="52">
        <f t="shared" si="8"/>
        <v>0.63710200000000006</v>
      </c>
      <c r="K90" s="51">
        <f>ROUND(((1/12*4)+(1.33/12*4))/12*0.0025,4)</f>
        <v>2.0000000000000001E-4</v>
      </c>
      <c r="L90" s="52">
        <f>L37*K90</f>
        <v>0.67437000000000002</v>
      </c>
      <c r="M90" s="51">
        <f>ROUND(((1/12*4)+(1.33/12*4))/12*0.0025,4)</f>
        <v>2.0000000000000001E-4</v>
      </c>
      <c r="N90" s="52">
        <f>N37*M90</f>
        <v>0.70808599999999999</v>
      </c>
      <c r="O90" s="42"/>
      <c r="P90" s="51">
        <v>0</v>
      </c>
      <c r="Q90" s="55">
        <f>Q37*P90</f>
        <v>0</v>
      </c>
      <c r="S90" s="51">
        <v>0</v>
      </c>
      <c r="T90" s="55">
        <f>T37*S90</f>
        <v>0</v>
      </c>
      <c r="V90" s="224">
        <v>0</v>
      </c>
      <c r="W90" s="235">
        <f>W37*V90</f>
        <v>0</v>
      </c>
      <c r="Y90" s="51">
        <v>0</v>
      </c>
      <c r="Z90" s="52">
        <f>Z37*Y90</f>
        <v>0</v>
      </c>
    </row>
    <row r="91" spans="1:26" ht="13.5" thickBot="1" x14ac:dyDescent="0.25">
      <c r="A91" s="42"/>
      <c r="B91" s="80" t="s">
        <v>7</v>
      </c>
      <c r="C91" s="378" t="s">
        <v>169</v>
      </c>
      <c r="D91" s="446"/>
      <c r="E91" s="53"/>
      <c r="F91" s="54">
        <f>ROUND($F$37*E91,2)</f>
        <v>0</v>
      </c>
      <c r="G91" s="53"/>
      <c r="H91" s="81">
        <f>ROUND($H$37*G91,2)</f>
        <v>0</v>
      </c>
      <c r="I91" s="53"/>
      <c r="J91" s="52">
        <f t="shared" si="8"/>
        <v>0</v>
      </c>
      <c r="K91" s="53"/>
      <c r="L91" s="52">
        <f>ROUND(L37*K91,2)</f>
        <v>0</v>
      </c>
      <c r="M91" s="53"/>
      <c r="N91" s="52">
        <f>ROUND(N37*M91,2)</f>
        <v>0</v>
      </c>
      <c r="O91" s="42"/>
      <c r="P91" s="53"/>
      <c r="Q91" s="58">
        <f>ROUND(Q37*P91,2)</f>
        <v>0</v>
      </c>
      <c r="S91" s="53"/>
      <c r="T91" s="58">
        <f>ROUND(T37*S91,2)</f>
        <v>0</v>
      </c>
      <c r="V91" s="228"/>
      <c r="W91" s="246">
        <f>ROUND(W37*V91,2)</f>
        <v>0</v>
      </c>
      <c r="Y91" s="53"/>
      <c r="Z91" s="52">
        <f>ROUND(Z37*Y91,2)</f>
        <v>0</v>
      </c>
    </row>
    <row r="92" spans="1:26" ht="15.75" thickBot="1" x14ac:dyDescent="0.3">
      <c r="A92" s="42"/>
      <c r="B92" s="369" t="s">
        <v>16</v>
      </c>
      <c r="C92" s="370"/>
      <c r="D92" s="370"/>
      <c r="E92" s="146">
        <f>SUM(E86:E91)</f>
        <v>1.0346666666666665E-2</v>
      </c>
      <c r="F92" s="5">
        <f>SUM(F86:F91)</f>
        <v>29.492655999999997</v>
      </c>
      <c r="G92" s="41"/>
      <c r="H92" s="5">
        <f>SUM(H86:H91)</f>
        <v>30.377399466666667</v>
      </c>
      <c r="I92" s="41"/>
      <c r="J92" s="5">
        <f>SUM(J86:J91)</f>
        <v>32.959410133333328</v>
      </c>
      <c r="K92" s="41"/>
      <c r="L92" s="5">
        <f>SUM(L86:L91)</f>
        <v>34.887408000000001</v>
      </c>
      <c r="M92" s="41"/>
      <c r="N92" s="5">
        <f>SUM(N86:N91)</f>
        <v>36.631649066666668</v>
      </c>
      <c r="O92" s="42"/>
      <c r="P92" s="41"/>
      <c r="Q92" s="5">
        <f>SUM(Q86:Q91)</f>
        <v>0</v>
      </c>
      <c r="S92" s="41"/>
      <c r="T92" s="5">
        <f>SUM(T86:T91)</f>
        <v>32.925998999999997</v>
      </c>
      <c r="V92" s="213"/>
      <c r="W92" s="214">
        <f>SUM(W86:W91)</f>
        <v>0</v>
      </c>
      <c r="Y92" s="41"/>
      <c r="Z92" s="5">
        <f>SUM(Z86:Z91)</f>
        <v>178.28586299179162</v>
      </c>
    </row>
    <row r="93" spans="1:26" ht="15.75" thickBot="1" x14ac:dyDescent="0.3">
      <c r="A93" s="42"/>
      <c r="B93" s="135"/>
      <c r="C93" s="135"/>
      <c r="D93" s="135"/>
      <c r="E93" s="87"/>
      <c r="F93" s="25"/>
      <c r="G93" s="42"/>
      <c r="H93" s="25"/>
      <c r="I93" s="42"/>
      <c r="J93" s="25"/>
      <c r="K93" s="42"/>
      <c r="L93" s="25"/>
      <c r="M93" s="42"/>
      <c r="N93" s="25"/>
      <c r="O93" s="42"/>
      <c r="P93" s="42"/>
      <c r="Q93" s="25"/>
      <c r="S93" s="42"/>
      <c r="T93" s="25"/>
      <c r="V93" s="198"/>
      <c r="W93" s="237"/>
      <c r="Y93" s="42"/>
      <c r="Z93" s="25"/>
    </row>
    <row r="94" spans="1:26" ht="15.75" thickBot="1" x14ac:dyDescent="0.3">
      <c r="A94" s="42"/>
      <c r="B94" s="369" t="s">
        <v>107</v>
      </c>
      <c r="C94" s="370"/>
      <c r="D94" s="370"/>
      <c r="E94" s="370"/>
      <c r="F94" s="370"/>
      <c r="G94" s="370"/>
      <c r="H94" s="370"/>
      <c r="I94" s="370"/>
      <c r="J94" s="370"/>
      <c r="K94" s="370"/>
      <c r="L94" s="370"/>
      <c r="M94" s="370"/>
      <c r="N94" s="371"/>
      <c r="O94" s="42"/>
      <c r="P94" s="42"/>
      <c r="Q94" s="42"/>
      <c r="S94" s="42"/>
      <c r="T94" s="42"/>
      <c r="V94" s="198"/>
      <c r="W94" s="198"/>
      <c r="Y94" s="42"/>
      <c r="Z94" s="42"/>
    </row>
    <row r="95" spans="1:26" ht="15.75" thickBot="1" x14ac:dyDescent="0.3">
      <c r="A95" s="42"/>
      <c r="B95" s="65" t="s">
        <v>49</v>
      </c>
      <c r="C95" s="369" t="s">
        <v>108</v>
      </c>
      <c r="D95" s="371"/>
      <c r="E95" s="134" t="s">
        <v>13</v>
      </c>
      <c r="F95" s="133" t="s">
        <v>35</v>
      </c>
      <c r="G95" s="4" t="s">
        <v>13</v>
      </c>
      <c r="H95" s="4" t="s">
        <v>35</v>
      </c>
      <c r="I95" s="4" t="s">
        <v>13</v>
      </c>
      <c r="J95" s="138" t="s">
        <v>35</v>
      </c>
      <c r="K95" s="4" t="s">
        <v>13</v>
      </c>
      <c r="L95" s="138" t="s">
        <v>35</v>
      </c>
      <c r="M95" s="4" t="s">
        <v>13</v>
      </c>
      <c r="N95" s="138" t="s">
        <v>35</v>
      </c>
      <c r="O95" s="42"/>
      <c r="P95" s="4" t="s">
        <v>13</v>
      </c>
      <c r="Q95" s="138" t="s">
        <v>35</v>
      </c>
      <c r="S95" s="4" t="s">
        <v>13</v>
      </c>
      <c r="T95" s="138" t="s">
        <v>35</v>
      </c>
      <c r="V95" s="234" t="s">
        <v>13</v>
      </c>
      <c r="W95" s="238" t="s">
        <v>35</v>
      </c>
      <c r="Y95" s="4" t="s">
        <v>13</v>
      </c>
      <c r="Z95" s="138" t="s">
        <v>35</v>
      </c>
    </row>
    <row r="96" spans="1:26" ht="13.5" thickBot="1" x14ac:dyDescent="0.25">
      <c r="A96" s="42"/>
      <c r="B96" s="70" t="s">
        <v>1</v>
      </c>
      <c r="C96" s="432" t="s">
        <v>109</v>
      </c>
      <c r="D96" s="445"/>
      <c r="E96" s="49"/>
      <c r="F96" s="50">
        <f>ROUND($F$37*E96,2)</f>
        <v>0</v>
      </c>
      <c r="G96" s="49"/>
      <c r="H96" s="101">
        <f>ROUND($H$37*G96,2)</f>
        <v>0</v>
      </c>
      <c r="I96" s="57"/>
      <c r="J96" s="50">
        <f>ROUND($N$37*I96,2)</f>
        <v>0</v>
      </c>
      <c r="K96" s="57"/>
      <c r="L96" s="50">
        <f>ROUND($N$37*K96,2)</f>
        <v>0</v>
      </c>
      <c r="M96" s="57"/>
      <c r="N96" s="50">
        <f>ROUND($N$37*M96,2)</f>
        <v>0</v>
      </c>
      <c r="O96" s="42"/>
      <c r="P96" s="57"/>
      <c r="Q96" s="50">
        <f>ROUND(Q37*P96,2)</f>
        <v>0</v>
      </c>
      <c r="S96" s="57"/>
      <c r="T96" s="50">
        <f>ROUND(T37*S96,2)</f>
        <v>0</v>
      </c>
      <c r="V96" s="247"/>
      <c r="W96" s="248">
        <f>ROUND(W37*V96,2)</f>
        <v>0</v>
      </c>
      <c r="Y96" s="57"/>
      <c r="Z96" s="50">
        <f>ROUND(Z37*Y96,2)</f>
        <v>0</v>
      </c>
    </row>
    <row r="97" spans="1:26" ht="13.5" customHeight="1" thickBot="1" x14ac:dyDescent="0.3">
      <c r="A97" s="42"/>
      <c r="B97" s="369" t="s">
        <v>16</v>
      </c>
      <c r="C97" s="370"/>
      <c r="D97" s="370"/>
      <c r="E97" s="371"/>
      <c r="F97" s="5">
        <f>F96</f>
        <v>0</v>
      </c>
      <c r="G97" s="41"/>
      <c r="H97" s="12">
        <f>H96</f>
        <v>0</v>
      </c>
      <c r="I97" s="41"/>
      <c r="J97" s="5">
        <f>J96</f>
        <v>0</v>
      </c>
      <c r="K97" s="41"/>
      <c r="L97" s="5">
        <f>L96</f>
        <v>0</v>
      </c>
      <c r="M97" s="41"/>
      <c r="N97" s="5">
        <f>N96</f>
        <v>0</v>
      </c>
      <c r="O97" s="42"/>
      <c r="P97" s="41"/>
      <c r="Q97" s="5">
        <f>Q96</f>
        <v>0</v>
      </c>
      <c r="S97" s="41"/>
      <c r="T97" s="5">
        <f>T96</f>
        <v>0</v>
      </c>
      <c r="V97" s="213"/>
      <c r="W97" s="214">
        <f>W96</f>
        <v>0</v>
      </c>
      <c r="Y97" s="41"/>
      <c r="Z97" s="5">
        <f>Z96</f>
        <v>0</v>
      </c>
    </row>
    <row r="98" spans="1:26" ht="13.5" customHeight="1" thickBot="1" x14ac:dyDescent="0.3">
      <c r="A98" s="42"/>
      <c r="B98" s="135"/>
      <c r="C98" s="135"/>
      <c r="D98" s="135"/>
      <c r="E98" s="135"/>
      <c r="F98" s="25"/>
      <c r="G98" s="42"/>
      <c r="H98" s="25"/>
      <c r="I98" s="42"/>
      <c r="J98" s="25"/>
      <c r="K98" s="42"/>
      <c r="L98" s="25"/>
      <c r="M98" s="42"/>
      <c r="N98" s="25"/>
      <c r="O98" s="42"/>
      <c r="P98" s="42"/>
      <c r="Q98" s="25"/>
      <c r="S98" s="42"/>
      <c r="T98" s="25"/>
      <c r="V98" s="198"/>
      <c r="W98" s="237"/>
      <c r="Y98" s="42"/>
      <c r="Z98" s="25"/>
    </row>
    <row r="99" spans="1:26" ht="15.75" thickBot="1" x14ac:dyDescent="0.3">
      <c r="A99" s="42"/>
      <c r="B99" s="369" t="s">
        <v>110</v>
      </c>
      <c r="C99" s="370"/>
      <c r="D99" s="370"/>
      <c r="E99" s="370"/>
      <c r="F99" s="370"/>
      <c r="G99" s="370"/>
      <c r="H99" s="370"/>
      <c r="I99" s="370"/>
      <c r="J99" s="370"/>
      <c r="K99" s="370"/>
      <c r="L99" s="370"/>
      <c r="M99" s="370"/>
      <c r="N99" s="371"/>
      <c r="O99" s="42"/>
      <c r="P99" s="42"/>
      <c r="Q99" s="42"/>
      <c r="S99" s="42"/>
      <c r="T99" s="42"/>
      <c r="V99" s="198"/>
      <c r="W99" s="198"/>
      <c r="Y99" s="42"/>
      <c r="Z99" s="42"/>
    </row>
    <row r="100" spans="1:26" ht="15.75" thickBot="1" x14ac:dyDescent="0.3">
      <c r="A100" s="42"/>
      <c r="B100" s="139">
        <v>4</v>
      </c>
      <c r="C100" s="370" t="s">
        <v>47</v>
      </c>
      <c r="D100" s="371"/>
      <c r="E100" s="134" t="s">
        <v>13</v>
      </c>
      <c r="F100" s="136" t="s">
        <v>35</v>
      </c>
      <c r="G100" s="4" t="s">
        <v>13</v>
      </c>
      <c r="H100" s="4" t="s">
        <v>35</v>
      </c>
      <c r="I100" s="4" t="s">
        <v>13</v>
      </c>
      <c r="J100" s="138" t="s">
        <v>35</v>
      </c>
      <c r="K100" s="4" t="s">
        <v>13</v>
      </c>
      <c r="L100" s="138" t="s">
        <v>35</v>
      </c>
      <c r="M100" s="4" t="s">
        <v>13</v>
      </c>
      <c r="N100" s="138" t="s">
        <v>35</v>
      </c>
      <c r="O100" s="42"/>
      <c r="P100" s="4" t="s">
        <v>13</v>
      </c>
      <c r="Q100" s="138" t="s">
        <v>35</v>
      </c>
      <c r="S100" s="4" t="s">
        <v>13</v>
      </c>
      <c r="T100" s="138" t="s">
        <v>35</v>
      </c>
      <c r="V100" s="234" t="s">
        <v>13</v>
      </c>
      <c r="W100" s="238" t="s">
        <v>35</v>
      </c>
      <c r="Y100" s="4" t="s">
        <v>13</v>
      </c>
      <c r="Z100" s="138" t="s">
        <v>35</v>
      </c>
    </row>
    <row r="101" spans="1:26" x14ac:dyDescent="0.2">
      <c r="A101" s="42"/>
      <c r="B101" s="70" t="s">
        <v>48</v>
      </c>
      <c r="C101" s="432" t="s">
        <v>46</v>
      </c>
      <c r="D101" s="445"/>
      <c r="E101" s="145">
        <f>E92</f>
        <v>1.0346666666666665E-2</v>
      </c>
      <c r="F101" s="59">
        <f>F92</f>
        <v>29.492655999999997</v>
      </c>
      <c r="G101" s="49"/>
      <c r="H101" s="59">
        <f>H92</f>
        <v>30.377399466666667</v>
      </c>
      <c r="I101" s="49"/>
      <c r="J101" s="46">
        <f>J92</f>
        <v>32.959410133333328</v>
      </c>
      <c r="K101" s="49"/>
      <c r="L101" s="46">
        <f>L92</f>
        <v>34.887408000000001</v>
      </c>
      <c r="M101" s="49"/>
      <c r="N101" s="46">
        <f>N92</f>
        <v>36.631649066666668</v>
      </c>
      <c r="O101" s="42"/>
      <c r="P101" s="49"/>
      <c r="Q101" s="46">
        <f>Q92</f>
        <v>0</v>
      </c>
      <c r="S101" s="49"/>
      <c r="T101" s="46">
        <f>T92</f>
        <v>32.925998999999997</v>
      </c>
      <c r="V101" s="222"/>
      <c r="W101" s="223">
        <f>W92</f>
        <v>0</v>
      </c>
      <c r="Y101" s="49"/>
      <c r="Z101" s="46">
        <f>Z92</f>
        <v>178.28586299179162</v>
      </c>
    </row>
    <row r="102" spans="1:26" ht="13.5" thickBot="1" x14ac:dyDescent="0.25">
      <c r="A102" s="42"/>
      <c r="B102" s="71" t="s">
        <v>49</v>
      </c>
      <c r="C102" s="409" t="s">
        <v>108</v>
      </c>
      <c r="D102" s="415"/>
      <c r="E102" s="51"/>
      <c r="F102" s="59">
        <f>F97</f>
        <v>0</v>
      </c>
      <c r="G102" s="51"/>
      <c r="H102" s="59">
        <f>H97</f>
        <v>0</v>
      </c>
      <c r="I102" s="51"/>
      <c r="J102" s="58">
        <f>J97</f>
        <v>0</v>
      </c>
      <c r="K102" s="51"/>
      <c r="L102" s="58">
        <f>L97</f>
        <v>0</v>
      </c>
      <c r="M102" s="51"/>
      <c r="N102" s="58">
        <f>N97</f>
        <v>0</v>
      </c>
      <c r="O102" s="42"/>
      <c r="P102" s="51"/>
      <c r="Q102" s="58">
        <f>Q97</f>
        <v>0</v>
      </c>
      <c r="S102" s="51"/>
      <c r="T102" s="58">
        <f>T97</f>
        <v>0</v>
      </c>
      <c r="V102" s="224"/>
      <c r="W102" s="246">
        <f>W97</f>
        <v>0</v>
      </c>
      <c r="Y102" s="51"/>
      <c r="Z102" s="58">
        <f>Z97</f>
        <v>0</v>
      </c>
    </row>
    <row r="103" spans="1:26" ht="15.75" thickBot="1" x14ac:dyDescent="0.3">
      <c r="A103" s="42"/>
      <c r="B103" s="369" t="s">
        <v>16</v>
      </c>
      <c r="C103" s="370"/>
      <c r="D103" s="370"/>
      <c r="E103" s="100"/>
      <c r="F103" s="5">
        <f>SUM(F101:F102)</f>
        <v>29.492655999999997</v>
      </c>
      <c r="G103" s="60"/>
      <c r="H103" s="13">
        <f>SUM(H101:H102)</f>
        <v>30.377399466666667</v>
      </c>
      <c r="I103" s="41"/>
      <c r="J103" s="5">
        <f>SUM(J101:J102)</f>
        <v>32.959410133333328</v>
      </c>
      <c r="K103" s="41"/>
      <c r="L103" s="5">
        <f>SUM(L101:L102)</f>
        <v>34.887408000000001</v>
      </c>
      <c r="M103" s="41"/>
      <c r="N103" s="5">
        <f>SUM(N101:N102)</f>
        <v>36.631649066666668</v>
      </c>
      <c r="O103" s="42"/>
      <c r="P103" s="41"/>
      <c r="Q103" s="5">
        <f>SUM(Q101:Q102)</f>
        <v>0</v>
      </c>
      <c r="S103" s="41"/>
      <c r="T103" s="5">
        <f>SUM(T101:T102)</f>
        <v>32.925998999999997</v>
      </c>
      <c r="V103" s="213"/>
      <c r="W103" s="214">
        <f>SUM(W101:W102)</f>
        <v>0</v>
      </c>
      <c r="Y103" s="41"/>
      <c r="Z103" s="5">
        <f>SUM(Z101:Z102)</f>
        <v>178.28586299179162</v>
      </c>
    </row>
    <row r="104" spans="1:26" ht="15.75" thickBot="1" x14ac:dyDescent="0.3">
      <c r="A104" s="42"/>
      <c r="B104" s="42"/>
      <c r="C104" s="87"/>
      <c r="D104" s="87"/>
      <c r="E104" s="87"/>
      <c r="F104" s="25"/>
      <c r="G104" s="42"/>
      <c r="H104" s="25"/>
      <c r="I104" s="42"/>
      <c r="J104" s="25"/>
      <c r="K104" s="42"/>
      <c r="L104" s="25"/>
      <c r="M104" s="42"/>
      <c r="N104" s="25"/>
      <c r="O104" s="42"/>
      <c r="P104" s="42"/>
      <c r="Q104" s="25"/>
      <c r="S104" s="42"/>
      <c r="T104" s="25"/>
      <c r="V104" s="198"/>
      <c r="W104" s="237"/>
      <c r="Y104" s="42"/>
      <c r="Z104" s="25"/>
    </row>
    <row r="105" spans="1:26" ht="15.75" thickBot="1" x14ac:dyDescent="0.3">
      <c r="A105" s="42"/>
      <c r="B105" s="369" t="s">
        <v>111</v>
      </c>
      <c r="C105" s="370"/>
      <c r="D105" s="370"/>
      <c r="E105" s="370"/>
      <c r="F105" s="370"/>
      <c r="G105" s="370"/>
      <c r="H105" s="370"/>
      <c r="I105" s="370"/>
      <c r="J105" s="370"/>
      <c r="K105" s="370"/>
      <c r="L105" s="370"/>
      <c r="M105" s="370"/>
      <c r="N105" s="371"/>
      <c r="O105" s="42"/>
      <c r="P105" s="42"/>
      <c r="Q105" s="42"/>
      <c r="S105" s="42"/>
      <c r="T105" s="42"/>
      <c r="V105" s="198"/>
      <c r="W105" s="198"/>
      <c r="Y105" s="42"/>
      <c r="Z105" s="42"/>
    </row>
    <row r="106" spans="1:26" ht="15.75" thickBot="1" x14ac:dyDescent="0.3">
      <c r="A106" s="42"/>
      <c r="B106" s="65">
        <v>5</v>
      </c>
      <c r="C106" s="456" t="s">
        <v>15</v>
      </c>
      <c r="D106" s="457"/>
      <c r="E106" s="28" t="s">
        <v>13</v>
      </c>
      <c r="F106" s="30" t="s">
        <v>35</v>
      </c>
      <c r="G106" s="95" t="s">
        <v>13</v>
      </c>
      <c r="H106" s="95" t="s">
        <v>35</v>
      </c>
      <c r="I106" s="95" t="s">
        <v>13</v>
      </c>
      <c r="J106" s="31" t="s">
        <v>35</v>
      </c>
      <c r="K106" s="95" t="s">
        <v>13</v>
      </c>
      <c r="L106" s="31" t="s">
        <v>35</v>
      </c>
      <c r="M106" s="95" t="s">
        <v>13</v>
      </c>
      <c r="N106" s="31" t="s">
        <v>35</v>
      </c>
      <c r="O106" s="42"/>
      <c r="P106" s="95" t="s">
        <v>13</v>
      </c>
      <c r="Q106" s="31" t="s">
        <v>35</v>
      </c>
      <c r="S106" s="95" t="s">
        <v>13</v>
      </c>
      <c r="T106" s="31" t="s">
        <v>35</v>
      </c>
      <c r="V106" s="243" t="s">
        <v>13</v>
      </c>
      <c r="W106" s="244" t="s">
        <v>35</v>
      </c>
      <c r="Y106" s="95" t="s">
        <v>13</v>
      </c>
      <c r="Z106" s="31" t="s">
        <v>35</v>
      </c>
    </row>
    <row r="107" spans="1:26" x14ac:dyDescent="0.2">
      <c r="A107" s="42"/>
      <c r="B107" s="70" t="s">
        <v>1</v>
      </c>
      <c r="C107" s="432" t="s">
        <v>38</v>
      </c>
      <c r="D107" s="445"/>
      <c r="E107" s="49"/>
      <c r="F107" s="46">
        <f>Uniforme!$E$12</f>
        <v>48.333333333333336</v>
      </c>
      <c r="G107" s="49"/>
      <c r="H107" s="46">
        <f>Uniforme!$E$12</f>
        <v>48.333333333333336</v>
      </c>
      <c r="I107" s="49"/>
      <c r="J107" s="46">
        <f>Uniforme!$E$12</f>
        <v>48.333333333333336</v>
      </c>
      <c r="K107" s="49"/>
      <c r="L107" s="46">
        <f>Uniforme!$E$12</f>
        <v>48.333333333333336</v>
      </c>
      <c r="M107" s="49"/>
      <c r="N107" s="46">
        <f>Uniforme!$E$12</f>
        <v>48.333333333333336</v>
      </c>
      <c r="O107" s="42"/>
      <c r="P107" s="49"/>
      <c r="Q107" s="46">
        <f>Uniforme!$E$12</f>
        <v>48.333333333333336</v>
      </c>
      <c r="S107" s="49"/>
      <c r="T107" s="46"/>
      <c r="V107" s="222"/>
      <c r="W107" s="223">
        <v>0</v>
      </c>
      <c r="Y107" s="49"/>
      <c r="Z107" s="46"/>
    </row>
    <row r="108" spans="1:26" x14ac:dyDescent="0.2">
      <c r="A108" s="42"/>
      <c r="B108" s="71" t="s">
        <v>2</v>
      </c>
      <c r="C108" s="409" t="s">
        <v>39</v>
      </c>
      <c r="D108" s="415"/>
      <c r="E108" s="51"/>
      <c r="F108" s="82">
        <f>Materiais!$H$36</f>
        <v>1.5299999999999998</v>
      </c>
      <c r="G108" s="51"/>
      <c r="H108" s="82">
        <f>Materiais!$H$36</f>
        <v>1.5299999999999998</v>
      </c>
      <c r="I108" s="51"/>
      <c r="J108" s="82">
        <f>Materiais!$H$36</f>
        <v>1.5299999999999998</v>
      </c>
      <c r="K108" s="51"/>
      <c r="L108" s="82">
        <f>Materiais!$H$36</f>
        <v>1.5299999999999998</v>
      </c>
      <c r="M108" s="51"/>
      <c r="N108" s="82">
        <f>Materiais!$H$36</f>
        <v>1.5299999999999998</v>
      </c>
      <c r="O108" s="42"/>
      <c r="P108" s="51"/>
      <c r="Q108" s="82">
        <f>Materiais!$H$36</f>
        <v>1.5299999999999998</v>
      </c>
      <c r="S108" s="51"/>
      <c r="T108" s="82"/>
      <c r="V108" s="224"/>
      <c r="W108" s="249">
        <v>0</v>
      </c>
      <c r="Y108" s="51"/>
      <c r="Z108" s="82"/>
    </row>
    <row r="109" spans="1:26" x14ac:dyDescent="0.2">
      <c r="A109" s="42"/>
      <c r="B109" s="71" t="s">
        <v>4</v>
      </c>
      <c r="C109" s="409" t="s">
        <v>220</v>
      </c>
      <c r="D109" s="415"/>
      <c r="E109" s="51"/>
      <c r="F109" s="52">
        <f>Equipamento!$I$7</f>
        <v>1.0256410256410258</v>
      </c>
      <c r="G109" s="51"/>
      <c r="H109" s="52">
        <f>Equipamento!$I$7</f>
        <v>1.0256410256410258</v>
      </c>
      <c r="I109" s="51"/>
      <c r="J109" s="52">
        <f>Equipamento!$I$7</f>
        <v>1.0256410256410258</v>
      </c>
      <c r="K109" s="51"/>
      <c r="L109" s="52">
        <f>Equipamento!$I$7</f>
        <v>1.0256410256410258</v>
      </c>
      <c r="M109" s="51"/>
      <c r="N109" s="52">
        <f>Equipamento!$I$7</f>
        <v>1.0256410256410258</v>
      </c>
      <c r="O109" s="42"/>
      <c r="P109" s="51"/>
      <c r="Q109" s="52">
        <f>Equipamento!$I$7</f>
        <v>1.0256410256410258</v>
      </c>
      <c r="S109" s="51"/>
      <c r="T109" s="52"/>
      <c r="V109" s="224"/>
      <c r="W109" s="227">
        <v>0</v>
      </c>
      <c r="Y109" s="51"/>
      <c r="Z109" s="52"/>
    </row>
    <row r="110" spans="1:26" ht="13.5" thickBot="1" x14ac:dyDescent="0.25">
      <c r="A110" s="42"/>
      <c r="B110" s="71" t="s">
        <v>5</v>
      </c>
      <c r="C110" s="409" t="s">
        <v>37</v>
      </c>
      <c r="D110" s="415"/>
      <c r="E110" s="34"/>
      <c r="F110" s="98"/>
      <c r="G110" s="34"/>
      <c r="H110" s="54"/>
      <c r="I110" s="51"/>
      <c r="J110" s="52"/>
      <c r="K110" s="51"/>
      <c r="L110" s="52"/>
      <c r="M110" s="51"/>
      <c r="N110" s="52"/>
      <c r="O110" s="42"/>
      <c r="P110" s="51"/>
      <c r="Q110" s="52"/>
      <c r="S110" s="51"/>
      <c r="T110" s="52"/>
      <c r="V110" s="224"/>
      <c r="W110" s="227"/>
      <c r="Y110" s="51"/>
      <c r="Z110" s="52"/>
    </row>
    <row r="111" spans="1:26" ht="15.75" thickBot="1" x14ac:dyDescent="0.3">
      <c r="A111" s="42"/>
      <c r="B111" s="41"/>
      <c r="C111" s="438" t="s">
        <v>16</v>
      </c>
      <c r="D111" s="439"/>
      <c r="E111" s="440"/>
      <c r="F111" s="5">
        <f>SUM(F107:F110)</f>
        <v>50.888974358974366</v>
      </c>
      <c r="G111" s="41"/>
      <c r="H111" s="5">
        <f>SUM(H107:H110)</f>
        <v>50.888974358974366</v>
      </c>
      <c r="I111" s="41"/>
      <c r="J111" s="5">
        <f>SUM(J107:J110)</f>
        <v>50.888974358974366</v>
      </c>
      <c r="K111" s="41"/>
      <c r="L111" s="5">
        <f>SUM(L107:L110)</f>
        <v>50.888974358974366</v>
      </c>
      <c r="M111" s="41"/>
      <c r="N111" s="5">
        <f>SUM(N107:N110)</f>
        <v>50.888974358974366</v>
      </c>
      <c r="O111" s="42"/>
      <c r="P111" s="41"/>
      <c r="Q111" s="5">
        <f>SUM(Q107:Q110)</f>
        <v>50.888974358974366</v>
      </c>
      <c r="S111" s="41"/>
      <c r="T111" s="5">
        <f>SUM(T107:T110)</f>
        <v>0</v>
      </c>
      <c r="V111" s="213"/>
      <c r="W111" s="214">
        <f>SUM(W107:W110)</f>
        <v>0</v>
      </c>
      <c r="Y111" s="41"/>
      <c r="Z111" s="5">
        <f>SUM(Z107:Z110)</f>
        <v>0</v>
      </c>
    </row>
    <row r="112" spans="1:26" ht="15.75" thickBot="1" x14ac:dyDescent="0.3">
      <c r="A112" s="42"/>
      <c r="B112" s="42"/>
      <c r="C112" s="87"/>
      <c r="D112" s="87"/>
      <c r="E112" s="87"/>
      <c r="F112" s="25"/>
      <c r="G112" s="42"/>
      <c r="H112" s="25"/>
      <c r="I112" s="42"/>
      <c r="J112" s="25"/>
      <c r="K112" s="42"/>
      <c r="L112" s="25"/>
      <c r="M112" s="42"/>
      <c r="N112" s="25"/>
      <c r="O112" s="42"/>
      <c r="P112" s="42"/>
      <c r="Q112" s="25"/>
      <c r="S112" s="42"/>
      <c r="T112" s="25"/>
      <c r="V112" s="198"/>
      <c r="W112" s="237"/>
      <c r="Y112" s="42"/>
      <c r="Z112" s="25"/>
    </row>
    <row r="113" spans="1:26" ht="15.75" thickBot="1" x14ac:dyDescent="0.3">
      <c r="A113" s="42"/>
      <c r="B113" s="369" t="s">
        <v>124</v>
      </c>
      <c r="C113" s="370"/>
      <c r="D113" s="370"/>
      <c r="E113" s="370"/>
      <c r="F113" s="370"/>
      <c r="G113" s="370"/>
      <c r="H113" s="370"/>
      <c r="I113" s="370"/>
      <c r="J113" s="370"/>
      <c r="K113" s="370"/>
      <c r="L113" s="370"/>
      <c r="M113" s="370"/>
      <c r="N113" s="371"/>
      <c r="O113" s="42"/>
      <c r="P113" s="42"/>
      <c r="Q113" s="42"/>
      <c r="S113" s="42"/>
      <c r="T113" s="42"/>
      <c r="V113" s="198"/>
      <c r="W113" s="198"/>
      <c r="Y113" s="42"/>
      <c r="Z113" s="42"/>
    </row>
    <row r="114" spans="1:26" ht="15.75" thickBot="1" x14ac:dyDescent="0.3">
      <c r="A114" s="42"/>
      <c r="B114" s="65">
        <v>6</v>
      </c>
      <c r="C114" s="456" t="s">
        <v>59</v>
      </c>
      <c r="D114" s="457"/>
      <c r="E114" s="28" t="s">
        <v>13</v>
      </c>
      <c r="F114" s="30" t="s">
        <v>35</v>
      </c>
      <c r="G114" s="65" t="s">
        <v>13</v>
      </c>
      <c r="H114" s="66" t="s">
        <v>35</v>
      </c>
      <c r="I114" s="65" t="s">
        <v>13</v>
      </c>
      <c r="J114" s="66" t="s">
        <v>35</v>
      </c>
      <c r="K114" s="65" t="s">
        <v>13</v>
      </c>
      <c r="L114" s="66" t="s">
        <v>35</v>
      </c>
      <c r="M114" s="65" t="s">
        <v>13</v>
      </c>
      <c r="N114" s="66" t="s">
        <v>35</v>
      </c>
      <c r="O114" s="42"/>
      <c r="P114" s="65" t="s">
        <v>13</v>
      </c>
      <c r="Q114" s="66" t="s">
        <v>35</v>
      </c>
      <c r="S114" s="65" t="s">
        <v>13</v>
      </c>
      <c r="T114" s="66" t="s">
        <v>35</v>
      </c>
      <c r="V114" s="250" t="s">
        <v>13</v>
      </c>
      <c r="W114" s="215" t="s">
        <v>35</v>
      </c>
      <c r="Y114" s="65" t="s">
        <v>13</v>
      </c>
      <c r="Z114" s="66" t="s">
        <v>35</v>
      </c>
    </row>
    <row r="115" spans="1:26" x14ac:dyDescent="0.2">
      <c r="A115" s="42"/>
      <c r="B115" s="70" t="s">
        <v>1</v>
      </c>
      <c r="C115" s="432" t="s">
        <v>50</v>
      </c>
      <c r="D115" s="445"/>
      <c r="E115" s="57">
        <v>4.4999999999999997E-3</v>
      </c>
      <c r="F115" s="47">
        <f>F130*E115</f>
        <v>24.348319091856634</v>
      </c>
      <c r="G115" s="57">
        <v>4.4999999999999997E-3</v>
      </c>
      <c r="H115" s="47">
        <f>H130*G115</f>
        <v>25.077360813157885</v>
      </c>
      <c r="I115" s="57">
        <v>4.4999999999999997E-3</v>
      </c>
      <c r="J115" s="47">
        <f>J130*I115</f>
        <v>27.122165013011006</v>
      </c>
      <c r="K115" s="57">
        <v>4.4999999999999997E-3</v>
      </c>
      <c r="L115" s="47">
        <f>L130*K115</f>
        <v>28.64876385702475</v>
      </c>
      <c r="M115" s="57">
        <v>4.4999999999999997E-3</v>
      </c>
      <c r="N115" s="47">
        <f>N130*M115</f>
        <v>30.029685431908508</v>
      </c>
      <c r="O115" s="42"/>
      <c r="P115" s="57">
        <v>4.4999999999999997E-3</v>
      </c>
      <c r="Q115" s="47">
        <f>Q130*P115</f>
        <v>23.834440009615381</v>
      </c>
      <c r="S115" s="57">
        <v>4.4999999999999997E-3</v>
      </c>
      <c r="T115" s="47">
        <f>T130*S115</f>
        <v>28.889377735499995</v>
      </c>
      <c r="V115" s="247">
        <v>4.4999999999999997E-3</v>
      </c>
      <c r="W115" s="251">
        <f>W130*V115</f>
        <v>46.185801085079994</v>
      </c>
      <c r="Y115" s="57"/>
      <c r="Z115" s="47">
        <f>Z130*Y115</f>
        <v>0</v>
      </c>
    </row>
    <row r="116" spans="1:26" x14ac:dyDescent="0.2">
      <c r="A116" s="42"/>
      <c r="B116" s="80" t="s">
        <v>2</v>
      </c>
      <c r="C116" s="378" t="s">
        <v>0</v>
      </c>
      <c r="D116" s="446"/>
      <c r="E116" s="187">
        <v>4.3499999999999997E-3</v>
      </c>
      <c r="F116" s="63">
        <f>(F130+F115)*E116</f>
        <v>23.642623643510991</v>
      </c>
      <c r="G116" s="187">
        <v>4.3499999999999997E-3</v>
      </c>
      <c r="H116" s="63">
        <f>(H130+H115)*G116</f>
        <v>24.350535305589858</v>
      </c>
      <c r="I116" s="187">
        <v>4.3499999999999997E-3</v>
      </c>
      <c r="J116" s="63">
        <f>(J130+J115)*I116</f>
        <v>26.336074263717236</v>
      </c>
      <c r="K116" s="187">
        <v>4.3499999999999997E-3</v>
      </c>
      <c r="L116" s="63">
        <f>(L130+L115)*K116</f>
        <v>27.818427184568652</v>
      </c>
      <c r="M116" s="187">
        <v>4.3499999999999997E-3</v>
      </c>
      <c r="N116" s="63">
        <f>(N130+N115)*M116</f>
        <v>29.15932504914036</v>
      </c>
      <c r="O116" s="42"/>
      <c r="P116" s="187">
        <v>4.3499999999999997E-3</v>
      </c>
      <c r="Q116" s="63">
        <f>(Q130+Q115)*P116</f>
        <v>23.143638490003362</v>
      </c>
      <c r="S116" s="187">
        <v>4.3499999999999997E-3</v>
      </c>
      <c r="T116" s="63">
        <f>(T130+T115)*S116</f>
        <v>28.052067270799419</v>
      </c>
      <c r="V116" s="252">
        <v>4.3499999999999997E-3</v>
      </c>
      <c r="W116" s="253">
        <f>(W130+W115)*V116</f>
        <v>44.847182616964083</v>
      </c>
      <c r="Y116" s="67"/>
      <c r="Z116" s="63">
        <f>(Z130+Z115)*Y116</f>
        <v>0</v>
      </c>
    </row>
    <row r="117" spans="1:26" x14ac:dyDescent="0.2">
      <c r="A117" s="42"/>
      <c r="B117" s="71" t="s">
        <v>4</v>
      </c>
      <c r="C117" s="409" t="s">
        <v>14</v>
      </c>
      <c r="D117" s="415"/>
      <c r="E117" s="27">
        <f t="shared" ref="E117:N117" si="9">SUM(E118:E120)</f>
        <v>8.6499999999999994E-2</v>
      </c>
      <c r="F117" s="62">
        <f t="shared" si="9"/>
        <v>516.890265</v>
      </c>
      <c r="G117" s="27">
        <f t="shared" si="9"/>
        <v>8.6499999999999994E-2</v>
      </c>
      <c r="H117" s="62">
        <f t="shared" si="9"/>
        <v>532.37071000000003</v>
      </c>
      <c r="I117" s="27">
        <f>SUM(I118:I120)</f>
        <v>8.6499999999999994E-2</v>
      </c>
      <c r="J117" s="62">
        <f>SUM(J118:J120)</f>
        <v>575.77787000000001</v>
      </c>
      <c r="K117" s="27">
        <f t="shared" ref="K117:L117" si="10">SUM(K118:K120)</f>
        <v>8.6499999999999994E-2</v>
      </c>
      <c r="L117" s="62">
        <f t="shared" si="10"/>
        <v>625.13295999999991</v>
      </c>
      <c r="M117" s="27">
        <f t="shared" si="9"/>
        <v>8.6499999999999994E-2</v>
      </c>
      <c r="N117" s="62">
        <f t="shared" si="9"/>
        <v>637.50317499999994</v>
      </c>
      <c r="O117" s="42"/>
      <c r="P117" s="27">
        <f>SUM(P118:P120)</f>
        <v>8.6499999999999994E-2</v>
      </c>
      <c r="Q117" s="62">
        <f>SUM(Q118:Q120)</f>
        <v>505.98675000000003</v>
      </c>
      <c r="S117" s="27">
        <f>SUM(S118:S120)</f>
        <v>8.6499999999999994E-2</v>
      </c>
      <c r="T117" s="62">
        <f>SUM(T118:T120)</f>
        <v>613.29864999999995</v>
      </c>
      <c r="V117" s="254">
        <f>SUM(V118:V120)</f>
        <v>8.6499999999999994E-2</v>
      </c>
      <c r="W117" s="255">
        <f>SUM(W118:W120)</f>
        <v>980.47822999999994</v>
      </c>
      <c r="Y117" s="27">
        <f>SUM(Y118:Y120)</f>
        <v>0</v>
      </c>
      <c r="Z117" s="62">
        <f>SUM(Z118:Z120)</f>
        <v>0</v>
      </c>
    </row>
    <row r="118" spans="1:26" x14ac:dyDescent="0.2">
      <c r="A118" s="42"/>
      <c r="B118" s="71"/>
      <c r="C118" s="409" t="s">
        <v>120</v>
      </c>
      <c r="D118" s="415"/>
      <c r="E118" s="34">
        <v>6.4999999999999997E-3</v>
      </c>
      <c r="F118" s="62">
        <f>E118*F132</f>
        <v>38.841464999999999</v>
      </c>
      <c r="G118" s="34">
        <v>6.4999999999999997E-3</v>
      </c>
      <c r="H118" s="62">
        <f>G118*H132</f>
        <v>40.004509999999996</v>
      </c>
      <c r="I118" s="34">
        <v>6.4999999999999997E-3</v>
      </c>
      <c r="J118" s="62">
        <f>I118*J132</f>
        <v>43.266469999999998</v>
      </c>
      <c r="K118" s="34">
        <v>6.4999999999999997E-3</v>
      </c>
      <c r="L118" s="62">
        <f>K118*L132</f>
        <v>45.70176</v>
      </c>
      <c r="M118" s="34">
        <v>6.4999999999999997E-3</v>
      </c>
      <c r="N118" s="62">
        <f>M118*N132</f>
        <v>47.904674999999997</v>
      </c>
      <c r="O118" s="42"/>
      <c r="P118" s="34">
        <v>6.4999999999999997E-3</v>
      </c>
      <c r="Q118" s="62">
        <f>P118*Q132</f>
        <v>38.021749999999997</v>
      </c>
      <c r="S118" s="34">
        <v>6.4999999999999997E-3</v>
      </c>
      <c r="T118" s="62">
        <f>S118*T132</f>
        <v>46.085650000000001</v>
      </c>
      <c r="V118" s="245">
        <v>6.4999999999999997E-3</v>
      </c>
      <c r="W118" s="255">
        <f>V118*W132</f>
        <v>73.677629999999994</v>
      </c>
      <c r="Y118" s="34">
        <v>0</v>
      </c>
      <c r="Z118" s="62">
        <f>Y118*Z132</f>
        <v>0</v>
      </c>
    </row>
    <row r="119" spans="1:26" x14ac:dyDescent="0.2">
      <c r="A119" s="42"/>
      <c r="B119" s="71"/>
      <c r="C119" s="409" t="s">
        <v>121</v>
      </c>
      <c r="D119" s="415"/>
      <c r="E119" s="34">
        <v>0.03</v>
      </c>
      <c r="F119" s="62">
        <f>E119*F132</f>
        <v>179.26829999999998</v>
      </c>
      <c r="G119" s="34">
        <v>0.03</v>
      </c>
      <c r="H119" s="62">
        <f>G119*H132</f>
        <v>184.6362</v>
      </c>
      <c r="I119" s="34">
        <v>0.03</v>
      </c>
      <c r="J119" s="62">
        <f>I119*J132</f>
        <v>199.69139999999999</v>
      </c>
      <c r="K119" s="34">
        <v>0.03</v>
      </c>
      <c r="L119" s="62">
        <f>K119*L132</f>
        <v>210.93119999999999</v>
      </c>
      <c r="M119" s="34">
        <v>0.03</v>
      </c>
      <c r="N119" s="62">
        <f>M119*N132</f>
        <v>221.09849999999997</v>
      </c>
      <c r="O119" s="42"/>
      <c r="P119" s="34">
        <v>0.03</v>
      </c>
      <c r="Q119" s="62">
        <f>P119*Q132</f>
        <v>175.48499999999999</v>
      </c>
      <c r="S119" s="34">
        <v>0.03</v>
      </c>
      <c r="T119" s="62">
        <f>S119*T132</f>
        <v>212.703</v>
      </c>
      <c r="V119" s="245">
        <v>0.03</v>
      </c>
      <c r="W119" s="255">
        <f>V119*W132</f>
        <v>340.05059999999997</v>
      </c>
      <c r="Y119" s="34">
        <v>0</v>
      </c>
      <c r="Z119" s="62">
        <f>Y119*Z132</f>
        <v>0</v>
      </c>
    </row>
    <row r="120" spans="1:26" ht="13.5" thickBot="1" x14ac:dyDescent="0.25">
      <c r="A120" s="42"/>
      <c r="B120" s="71"/>
      <c r="C120" s="409" t="s">
        <v>122</v>
      </c>
      <c r="D120" s="415"/>
      <c r="E120" s="34">
        <v>0.05</v>
      </c>
      <c r="F120" s="62">
        <f>E120*F132</f>
        <v>298.78050000000002</v>
      </c>
      <c r="G120" s="34">
        <v>0.05</v>
      </c>
      <c r="H120" s="62">
        <f>ROUND(G120*H132,2)</f>
        <v>307.73</v>
      </c>
      <c r="I120" s="34">
        <v>0.05</v>
      </c>
      <c r="J120" s="52">
        <f>ROUND(I120*$J$132,2)</f>
        <v>332.82</v>
      </c>
      <c r="K120" s="34">
        <v>0.05</v>
      </c>
      <c r="L120" s="52">
        <f>ROUND(K120*$N$132,2)</f>
        <v>368.5</v>
      </c>
      <c r="M120" s="34">
        <v>0.05</v>
      </c>
      <c r="N120" s="52">
        <f>ROUND(M120*$N$132,2)</f>
        <v>368.5</v>
      </c>
      <c r="O120" s="42"/>
      <c r="P120" s="34">
        <v>0.05</v>
      </c>
      <c r="Q120" s="52">
        <f>ROUND(P120*Q132,2)</f>
        <v>292.48</v>
      </c>
      <c r="S120" s="34">
        <v>0.05</v>
      </c>
      <c r="T120" s="52">
        <f>ROUND(S120*T132,2)</f>
        <v>354.51</v>
      </c>
      <c r="V120" s="245">
        <v>0.05</v>
      </c>
      <c r="W120" s="227">
        <f>ROUND(V120*W132,2)</f>
        <v>566.75</v>
      </c>
      <c r="Y120" s="34">
        <v>0</v>
      </c>
      <c r="Z120" s="52">
        <f>ROUND(Y120*Z132,2)</f>
        <v>0</v>
      </c>
    </row>
    <row r="121" spans="1:26" ht="15.75" thickBot="1" x14ac:dyDescent="0.3">
      <c r="A121" s="42"/>
      <c r="B121" s="41"/>
      <c r="C121" s="438" t="s">
        <v>16</v>
      </c>
      <c r="D121" s="439"/>
      <c r="E121" s="440"/>
      <c r="F121" s="13">
        <f>ROUND(SUM(F115,F116,F117),2)</f>
        <v>564.88</v>
      </c>
      <c r="G121" s="41"/>
      <c r="H121" s="13">
        <f>ROUND(SUM(H115,H116,H117),2)</f>
        <v>581.79999999999995</v>
      </c>
      <c r="I121" s="41"/>
      <c r="J121" s="13">
        <f>ROUND(SUM(J115,J116,J117),2)</f>
        <v>629.24</v>
      </c>
      <c r="K121" s="41"/>
      <c r="L121" s="13">
        <f>ROUND(SUM(L115,L116,L117),2)</f>
        <v>681.6</v>
      </c>
      <c r="M121" s="41"/>
      <c r="N121" s="13">
        <f>ROUND(SUM(N115,N116,N117),2)</f>
        <v>696.69</v>
      </c>
      <c r="O121" s="42"/>
      <c r="P121" s="41"/>
      <c r="Q121" s="13">
        <f>ROUND(SUM(Q115,Q116,Q117),2)</f>
        <v>552.96</v>
      </c>
      <c r="S121" s="41"/>
      <c r="T121" s="13">
        <f>ROUND(SUM(T115,T116,T117),2)</f>
        <v>670.24</v>
      </c>
      <c r="V121" s="213"/>
      <c r="W121" s="256">
        <f>ROUND(SUM(W115,W116,W117),2)</f>
        <v>1071.51</v>
      </c>
      <c r="Y121" s="41"/>
      <c r="Z121" s="13">
        <f>ROUND(SUM(Z115,Z116,Z117),2)</f>
        <v>0</v>
      </c>
    </row>
    <row r="122" spans="1:26" ht="13.5" thickBot="1" x14ac:dyDescent="0.25">
      <c r="A122" s="42"/>
      <c r="B122" s="458"/>
      <c r="C122" s="458"/>
      <c r="D122" s="458"/>
      <c r="E122" s="458"/>
      <c r="F122" s="458"/>
      <c r="G122" s="42"/>
      <c r="H122" s="42"/>
      <c r="I122" s="42"/>
      <c r="J122" s="42"/>
      <c r="K122" s="42"/>
      <c r="L122" s="42"/>
      <c r="M122" s="42"/>
      <c r="N122" s="42"/>
      <c r="O122" s="42"/>
      <c r="P122" s="42"/>
      <c r="Q122" s="42"/>
      <c r="S122" s="42"/>
      <c r="T122" s="42"/>
      <c r="V122" s="198"/>
      <c r="W122" s="198"/>
      <c r="Y122" s="42"/>
      <c r="Z122" s="42"/>
    </row>
    <row r="123" spans="1:26" ht="15.75" thickBot="1" x14ac:dyDescent="0.3">
      <c r="A123" s="42"/>
      <c r="B123" s="369" t="s">
        <v>125</v>
      </c>
      <c r="C123" s="370"/>
      <c r="D123" s="370"/>
      <c r="E123" s="370"/>
      <c r="F123" s="370"/>
      <c r="G123" s="370"/>
      <c r="H123" s="370"/>
      <c r="I123" s="370"/>
      <c r="J123" s="370"/>
      <c r="K123" s="370"/>
      <c r="L123" s="370"/>
      <c r="M123" s="370"/>
      <c r="N123" s="371"/>
      <c r="O123" s="42"/>
      <c r="P123" s="42"/>
      <c r="Q123" s="42"/>
      <c r="S123" s="42"/>
      <c r="T123" s="42"/>
      <c r="V123" s="198"/>
      <c r="W123" s="198"/>
      <c r="Y123" s="42"/>
      <c r="Z123" s="42"/>
    </row>
    <row r="124" spans="1:26" ht="15.75" customHeight="1" thickBot="1" x14ac:dyDescent="0.3">
      <c r="A124" s="42"/>
      <c r="B124" s="100"/>
      <c r="C124" s="456" t="s">
        <v>127</v>
      </c>
      <c r="D124" s="456"/>
      <c r="E124" s="457"/>
      <c r="F124" s="136" t="s">
        <v>35</v>
      </c>
      <c r="G124" s="3"/>
      <c r="H124" s="6" t="s">
        <v>35</v>
      </c>
      <c r="I124" s="3"/>
      <c r="J124" s="4" t="s">
        <v>35</v>
      </c>
      <c r="K124" s="3"/>
      <c r="L124" s="4" t="s">
        <v>35</v>
      </c>
      <c r="M124" s="3"/>
      <c r="N124" s="4" t="s">
        <v>35</v>
      </c>
      <c r="O124" s="42"/>
      <c r="P124" s="3"/>
      <c r="Q124" s="4" t="s">
        <v>35</v>
      </c>
      <c r="S124" s="3"/>
      <c r="T124" s="4" t="s">
        <v>35</v>
      </c>
      <c r="V124" s="257"/>
      <c r="W124" s="234" t="s">
        <v>35</v>
      </c>
      <c r="Y124" s="3"/>
      <c r="Z124" s="4" t="s">
        <v>35</v>
      </c>
    </row>
    <row r="125" spans="1:26" x14ac:dyDescent="0.2">
      <c r="A125" s="42"/>
      <c r="B125" s="70" t="s">
        <v>1</v>
      </c>
      <c r="C125" s="70" t="s">
        <v>52</v>
      </c>
      <c r="D125" s="402" t="s">
        <v>57</v>
      </c>
      <c r="E125" s="402"/>
      <c r="F125" s="59">
        <f>$F$37</f>
        <v>2850.45</v>
      </c>
      <c r="G125" s="39"/>
      <c r="H125" s="46">
        <f>$H$37</f>
        <v>2935.96</v>
      </c>
      <c r="I125" s="39"/>
      <c r="J125" s="55">
        <f>$J$37</f>
        <v>3185.51</v>
      </c>
      <c r="K125" s="39"/>
      <c r="L125" s="55">
        <f>L37</f>
        <v>3371.85</v>
      </c>
      <c r="M125" s="39"/>
      <c r="N125" s="55">
        <f>N37</f>
        <v>3540.43</v>
      </c>
      <c r="O125" s="42"/>
      <c r="P125" s="39"/>
      <c r="Q125" s="55">
        <f>Q37</f>
        <v>3371.85</v>
      </c>
      <c r="S125" s="39"/>
      <c r="T125" s="55">
        <f>T37</f>
        <v>0</v>
      </c>
      <c r="V125" s="210"/>
      <c r="W125" s="235">
        <v>0</v>
      </c>
      <c r="Y125" s="39"/>
      <c r="Z125" s="55">
        <v>0</v>
      </c>
    </row>
    <row r="126" spans="1:26" x14ac:dyDescent="0.2">
      <c r="A126" s="42"/>
      <c r="B126" s="71" t="s">
        <v>2</v>
      </c>
      <c r="C126" s="71" t="s">
        <v>53</v>
      </c>
      <c r="D126" s="379" t="s">
        <v>100</v>
      </c>
      <c r="E126" s="379"/>
      <c r="F126" s="62">
        <f>F71</f>
        <v>2389.7152530549997</v>
      </c>
      <c r="G126" s="39"/>
      <c r="H126" s="62">
        <f>H71</f>
        <v>2465.9029776840002</v>
      </c>
      <c r="I126" s="39"/>
      <c r="J126" s="52">
        <f>J71</f>
        <v>2660.5546146290003</v>
      </c>
      <c r="K126" s="39"/>
      <c r="L126" s="52">
        <f>L71</f>
        <v>2805.8429461149999</v>
      </c>
      <c r="M126" s="39"/>
      <c r="N126" s="52">
        <f>N71</f>
        <v>2937.2444156969996</v>
      </c>
      <c r="O126" s="42"/>
      <c r="P126" s="39"/>
      <c r="Q126" s="52">
        <f>Q71</f>
        <v>1873.8032499999999</v>
      </c>
      <c r="S126" s="39"/>
      <c r="T126" s="52">
        <f>T71</f>
        <v>6386.9357199999995</v>
      </c>
      <c r="V126" s="210"/>
      <c r="W126" s="227">
        <f>W71</f>
        <v>480.65481947999996</v>
      </c>
      <c r="Y126" s="39"/>
      <c r="Z126" s="52">
        <f>Z71</f>
        <v>1873.8032499999999</v>
      </c>
    </row>
    <row r="127" spans="1:26" x14ac:dyDescent="0.2">
      <c r="A127" s="42"/>
      <c r="B127" s="71" t="s">
        <v>4</v>
      </c>
      <c r="C127" s="71" t="s">
        <v>54</v>
      </c>
      <c r="D127" s="379" t="s">
        <v>45</v>
      </c>
      <c r="E127" s="379"/>
      <c r="F127" s="62">
        <f>F81</f>
        <v>90.19069255416666</v>
      </c>
      <c r="G127" s="39"/>
      <c r="H127" s="62">
        <f>H81</f>
        <v>89.617495858777787</v>
      </c>
      <c r="I127" s="39"/>
      <c r="J127" s="52">
        <f>J81</f>
        <v>97.234781547805554</v>
      </c>
      <c r="K127" s="39"/>
      <c r="L127" s="52">
        <f>L81</f>
        <v>102.92263975374999</v>
      </c>
      <c r="M127" s="39"/>
      <c r="N127" s="52">
        <f>N81</f>
        <v>108.0683901903611</v>
      </c>
      <c r="O127" s="42"/>
      <c r="P127" s="39"/>
      <c r="Q127" s="52">
        <f>Q81</f>
        <v>0</v>
      </c>
      <c r="S127" s="39"/>
      <c r="T127" s="52">
        <f>T81</f>
        <v>0</v>
      </c>
      <c r="V127" s="210"/>
      <c r="W127" s="227">
        <f>W81</f>
        <v>89.540255644444457</v>
      </c>
      <c r="Y127" s="39"/>
      <c r="Z127" s="52">
        <f>Z81</f>
        <v>102.92263975374999</v>
      </c>
    </row>
    <row r="128" spans="1:26" x14ac:dyDescent="0.2">
      <c r="A128" s="42"/>
      <c r="B128" s="71" t="s">
        <v>5</v>
      </c>
      <c r="C128" s="71" t="s">
        <v>55</v>
      </c>
      <c r="D128" s="379" t="s">
        <v>47</v>
      </c>
      <c r="E128" s="379"/>
      <c r="F128" s="62">
        <f>F103</f>
        <v>29.492655999999997</v>
      </c>
      <c r="G128" s="39"/>
      <c r="H128" s="62">
        <f>H103</f>
        <v>30.377399466666667</v>
      </c>
      <c r="I128" s="39"/>
      <c r="J128" s="52">
        <f>J103</f>
        <v>32.959410133333328</v>
      </c>
      <c r="K128" s="39"/>
      <c r="L128" s="52">
        <f>L103</f>
        <v>34.887408000000001</v>
      </c>
      <c r="M128" s="39"/>
      <c r="N128" s="52">
        <f>N103</f>
        <v>36.631649066666668</v>
      </c>
      <c r="O128" s="42"/>
      <c r="P128" s="39"/>
      <c r="Q128" s="52">
        <f>Q103</f>
        <v>0</v>
      </c>
      <c r="S128" s="39"/>
      <c r="T128" s="52">
        <f>T103</f>
        <v>32.925998999999997</v>
      </c>
      <c r="V128" s="210"/>
      <c r="W128" s="227">
        <f>W103</f>
        <v>0</v>
      </c>
      <c r="Y128" s="39"/>
      <c r="Z128" s="52">
        <f>Z103</f>
        <v>178.28586299179162</v>
      </c>
    </row>
    <row r="129" spans="1:26" x14ac:dyDescent="0.2">
      <c r="A129" s="42"/>
      <c r="B129" s="71" t="s">
        <v>6</v>
      </c>
      <c r="C129" s="71" t="s">
        <v>56</v>
      </c>
      <c r="D129" s="379" t="s">
        <v>15</v>
      </c>
      <c r="E129" s="379"/>
      <c r="F129" s="62">
        <f>F111</f>
        <v>50.888974358974366</v>
      </c>
      <c r="G129" s="39"/>
      <c r="H129" s="62">
        <f>H111</f>
        <v>50.888974358974366</v>
      </c>
      <c r="I129" s="39"/>
      <c r="J129" s="52">
        <f>J111</f>
        <v>50.888974358974366</v>
      </c>
      <c r="K129" s="39"/>
      <c r="L129" s="52">
        <f>L111</f>
        <v>50.888974358974366</v>
      </c>
      <c r="M129" s="39"/>
      <c r="N129" s="52">
        <f>N111</f>
        <v>50.888974358974366</v>
      </c>
      <c r="O129" s="42"/>
      <c r="P129" s="39"/>
      <c r="Q129" s="52">
        <f>Q111</f>
        <v>50.888974358974366</v>
      </c>
      <c r="S129" s="39"/>
      <c r="T129" s="52">
        <f>T111</f>
        <v>0</v>
      </c>
      <c r="V129" s="210"/>
      <c r="W129" s="227">
        <f>W111</f>
        <v>0</v>
      </c>
      <c r="Y129" s="39"/>
      <c r="Z129" s="52">
        <f>Z111</f>
        <v>0</v>
      </c>
    </row>
    <row r="130" spans="1:26" x14ac:dyDescent="0.2">
      <c r="A130" s="42"/>
      <c r="B130" s="71"/>
      <c r="C130" s="459" t="s">
        <v>123</v>
      </c>
      <c r="D130" s="459"/>
      <c r="E130" s="459"/>
      <c r="F130" s="62">
        <f>SUM(F125:F129)</f>
        <v>5410.7375759681418</v>
      </c>
      <c r="G130" s="39"/>
      <c r="H130" s="62">
        <f>SUM(H125:H129)</f>
        <v>5572.7468473684194</v>
      </c>
      <c r="I130" s="39"/>
      <c r="J130" s="52">
        <f>SUM(J125:J129)</f>
        <v>6027.1477806691128</v>
      </c>
      <c r="K130" s="39"/>
      <c r="L130" s="52">
        <f>SUM(L125:L129)</f>
        <v>6366.3919682277228</v>
      </c>
      <c r="M130" s="39"/>
      <c r="N130" s="52">
        <f>SUM(N125:N129)</f>
        <v>6673.2634293130022</v>
      </c>
      <c r="O130" s="42"/>
      <c r="P130" s="39"/>
      <c r="Q130" s="52">
        <f>SUM(Q125:Q129)</f>
        <v>5296.5422243589737</v>
      </c>
      <c r="S130" s="39"/>
      <c r="T130" s="52">
        <f>SUM(T125:T129)</f>
        <v>6419.8617189999995</v>
      </c>
      <c r="V130" s="210"/>
      <c r="W130" s="227">
        <f>SUM(W125:W129)*18</f>
        <v>10263.511352239999</v>
      </c>
      <c r="Y130" s="39"/>
      <c r="Z130" s="52">
        <v>0</v>
      </c>
    </row>
    <row r="131" spans="1:26" ht="13.5" thickBot="1" x14ac:dyDescent="0.25">
      <c r="A131" s="42"/>
      <c r="B131" s="80" t="s">
        <v>6</v>
      </c>
      <c r="C131" s="99" t="s">
        <v>128</v>
      </c>
      <c r="D131" s="383" t="s">
        <v>59</v>
      </c>
      <c r="E131" s="451"/>
      <c r="F131" s="63">
        <f>$F$121</f>
        <v>564.88</v>
      </c>
      <c r="G131" s="64"/>
      <c r="H131" s="48">
        <f>H121</f>
        <v>581.79999999999995</v>
      </c>
      <c r="I131" s="64"/>
      <c r="J131" s="48">
        <f>$J$121</f>
        <v>629.24</v>
      </c>
      <c r="K131" s="64"/>
      <c r="L131" s="48">
        <f>L121</f>
        <v>681.6</v>
      </c>
      <c r="M131" s="64"/>
      <c r="N131" s="48">
        <f>N121</f>
        <v>696.69</v>
      </c>
      <c r="O131" s="42"/>
      <c r="P131" s="64"/>
      <c r="Q131" s="48">
        <f>Q121</f>
        <v>552.96</v>
      </c>
      <c r="S131" s="64"/>
      <c r="T131" s="48">
        <f>T121</f>
        <v>670.24</v>
      </c>
      <c r="V131" s="258"/>
      <c r="W131" s="259">
        <f>W121</f>
        <v>1071.51</v>
      </c>
      <c r="Y131" s="64"/>
      <c r="Z131" s="48">
        <f>Z121</f>
        <v>0</v>
      </c>
    </row>
    <row r="132" spans="1:26" ht="15.75" thickBot="1" x14ac:dyDescent="0.25">
      <c r="A132" s="42"/>
      <c r="B132" s="41"/>
      <c r="C132" s="449" t="s">
        <v>51</v>
      </c>
      <c r="D132" s="449"/>
      <c r="E132" s="449"/>
      <c r="F132" s="5">
        <f>ROUNDDOWN((F130+F115+F116)/(1-E117),2)</f>
        <v>5975.61</v>
      </c>
      <c r="G132" s="41"/>
      <c r="H132" s="13">
        <f>ROUND((H130+H115+H116)/(1-G117),2)</f>
        <v>6154.54</v>
      </c>
      <c r="I132" s="41"/>
      <c r="J132" s="5">
        <f>ROUND((J130+J115+J116)/(1-I117),2)</f>
        <v>6656.38</v>
      </c>
      <c r="K132" s="41"/>
      <c r="L132" s="5">
        <f>ROUND((L130+L115+L116)/(1-K117),2)</f>
        <v>7031.04</v>
      </c>
      <c r="M132" s="41"/>
      <c r="N132" s="5">
        <f>ROUND((N130+N115+N116)/(1-M117),2)</f>
        <v>7369.95</v>
      </c>
      <c r="O132" s="42"/>
      <c r="P132" s="41"/>
      <c r="Q132" s="5">
        <f>ROUND((Q130+Q115+Q116)/(1-P117),2)</f>
        <v>5849.5</v>
      </c>
      <c r="S132" s="41"/>
      <c r="T132" s="5">
        <f>ROUND((T130+T115+T116)/(1-S117),2)</f>
        <v>7090.1</v>
      </c>
      <c r="V132" s="213"/>
      <c r="W132" s="214">
        <f>ROUND((W130+W115+W116)/(1-V117),2)</f>
        <v>11335.02</v>
      </c>
      <c r="Y132" s="41"/>
      <c r="Z132" s="5"/>
    </row>
    <row r="133" spans="1:26" x14ac:dyDescent="0.2">
      <c r="A133" s="42"/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  <c r="O133" s="42"/>
      <c r="P133" s="42"/>
      <c r="Q133" s="42"/>
      <c r="S133" s="42"/>
      <c r="T133" s="42"/>
      <c r="V133" s="198"/>
      <c r="W133" s="198"/>
    </row>
    <row r="134" spans="1:26" x14ac:dyDescent="0.2">
      <c r="A134" s="42"/>
      <c r="B134" s="42"/>
      <c r="C134" s="42"/>
      <c r="D134" s="42"/>
      <c r="E134" s="42"/>
      <c r="F134" s="29"/>
      <c r="G134" s="42"/>
      <c r="H134" s="83"/>
      <c r="I134" s="42"/>
      <c r="J134" s="83">
        <v>6656.38</v>
      </c>
      <c r="K134" s="42"/>
      <c r="L134" s="83"/>
      <c r="M134" s="42"/>
      <c r="N134" s="83"/>
      <c r="O134" s="42"/>
      <c r="P134" s="42"/>
      <c r="Q134" s="42">
        <v>5540.13</v>
      </c>
      <c r="S134" s="42"/>
      <c r="T134" s="42">
        <v>6379.32</v>
      </c>
      <c r="V134" s="198"/>
      <c r="W134" s="198"/>
      <c r="Z134" s="68">
        <v>168.76</v>
      </c>
    </row>
    <row r="135" spans="1:26" x14ac:dyDescent="0.2">
      <c r="A135" s="42"/>
      <c r="B135" s="42"/>
      <c r="C135" s="42"/>
      <c r="D135" s="42"/>
      <c r="E135" s="42"/>
      <c r="G135" s="42"/>
      <c r="H135" s="42"/>
      <c r="I135" s="42"/>
      <c r="J135" s="83"/>
      <c r="K135" s="42"/>
      <c r="L135" s="83"/>
      <c r="M135" s="42"/>
      <c r="N135" s="83"/>
      <c r="O135" s="42"/>
      <c r="P135" s="42"/>
      <c r="Q135" s="83"/>
      <c r="S135" s="42"/>
      <c r="T135" s="83"/>
      <c r="V135" s="198"/>
      <c r="W135" s="260"/>
    </row>
    <row r="136" spans="1:26" x14ac:dyDescent="0.2">
      <c r="A136" s="42"/>
      <c r="B136" s="42"/>
      <c r="C136" s="42"/>
      <c r="D136" s="42"/>
      <c r="E136" s="42"/>
      <c r="F136" s="42"/>
      <c r="G136" s="42"/>
      <c r="H136" s="83"/>
      <c r="I136" s="42"/>
      <c r="J136" s="42"/>
      <c r="K136" s="42"/>
      <c r="L136" s="42"/>
      <c r="M136" s="42"/>
      <c r="N136" s="42"/>
      <c r="O136" s="42"/>
      <c r="P136" s="42"/>
      <c r="S136" s="42"/>
      <c r="V136" s="198"/>
    </row>
    <row r="137" spans="1:26" x14ac:dyDescent="0.2">
      <c r="A137" s="42"/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  <c r="O137" s="42"/>
      <c r="P137" s="42"/>
      <c r="Q137" s="42"/>
      <c r="S137" s="42"/>
      <c r="T137" s="83"/>
      <c r="V137" s="198"/>
      <c r="W137" s="198"/>
    </row>
    <row r="138" spans="1:26" x14ac:dyDescent="0.2">
      <c r="A138" s="42"/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  <c r="O138" s="42"/>
      <c r="P138" s="42"/>
      <c r="Q138" s="42"/>
      <c r="S138" s="42"/>
      <c r="T138" s="42"/>
      <c r="V138" s="198"/>
      <c r="W138" s="198"/>
    </row>
    <row r="139" spans="1:26" x14ac:dyDescent="0.2">
      <c r="A139" s="42"/>
      <c r="B139" s="42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  <c r="O139" s="42"/>
      <c r="P139" s="42"/>
      <c r="Q139" s="42"/>
      <c r="S139" s="42"/>
      <c r="T139" s="42"/>
      <c r="V139" s="198"/>
      <c r="W139" s="198"/>
    </row>
    <row r="140" spans="1:26" x14ac:dyDescent="0.2">
      <c r="A140" s="42"/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  <c r="O140" s="42"/>
      <c r="P140" s="42"/>
      <c r="Q140" s="42"/>
      <c r="S140" s="42"/>
      <c r="T140" s="42"/>
      <c r="V140" s="198"/>
      <c r="W140" s="198"/>
    </row>
    <row r="141" spans="1:26" x14ac:dyDescent="0.2">
      <c r="A141" s="42"/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2"/>
      <c r="O141" s="42"/>
      <c r="P141" s="42"/>
      <c r="Q141" s="42"/>
      <c r="S141" s="42"/>
      <c r="T141" s="42"/>
      <c r="V141" s="198"/>
      <c r="W141" s="198"/>
    </row>
    <row r="142" spans="1:26" x14ac:dyDescent="0.2">
      <c r="A142" s="42"/>
      <c r="B142" s="42"/>
      <c r="C142" s="42"/>
      <c r="D142" s="42"/>
      <c r="E142" s="42"/>
      <c r="F142" s="42" t="s">
        <v>60</v>
      </c>
      <c r="G142" s="42"/>
      <c r="H142" s="42"/>
      <c r="I142" s="42"/>
      <c r="J142" s="42"/>
      <c r="K142" s="42"/>
      <c r="L142" s="42"/>
      <c r="M142" s="42"/>
      <c r="N142" s="42"/>
      <c r="O142" s="42"/>
      <c r="P142" s="42"/>
      <c r="Q142" s="42"/>
      <c r="S142" s="42"/>
      <c r="T142" s="42"/>
      <c r="V142" s="198"/>
      <c r="W142" s="198"/>
    </row>
    <row r="143" spans="1:26" x14ac:dyDescent="0.2">
      <c r="A143" s="42"/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  <c r="O143" s="42"/>
      <c r="P143" s="42"/>
      <c r="Q143" s="42"/>
      <c r="S143" s="42"/>
      <c r="T143" s="42"/>
      <c r="V143" s="198"/>
      <c r="W143" s="198"/>
    </row>
    <row r="144" spans="1:26" x14ac:dyDescent="0.2">
      <c r="A144" s="42"/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  <c r="O144" s="42"/>
      <c r="P144" s="42"/>
      <c r="Q144" s="42"/>
      <c r="S144" s="42"/>
      <c r="T144" s="42"/>
      <c r="V144" s="198"/>
      <c r="W144" s="198"/>
    </row>
    <row r="145" spans="1:23" x14ac:dyDescent="0.2">
      <c r="A145" s="42"/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  <c r="O145" s="42"/>
      <c r="P145" s="42"/>
      <c r="Q145" s="42"/>
      <c r="S145" s="42"/>
      <c r="T145" s="42"/>
      <c r="V145" s="198"/>
      <c r="W145" s="198"/>
    </row>
    <row r="146" spans="1:23" x14ac:dyDescent="0.2">
      <c r="A146" s="42"/>
      <c r="B146" s="42"/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2"/>
      <c r="O146" s="42"/>
      <c r="P146" s="42"/>
      <c r="Q146" s="42"/>
      <c r="S146" s="42"/>
      <c r="T146" s="42"/>
      <c r="V146" s="198"/>
      <c r="W146" s="198"/>
    </row>
    <row r="147" spans="1:23" x14ac:dyDescent="0.2">
      <c r="A147" s="42"/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2"/>
      <c r="O147" s="42"/>
      <c r="P147" s="42"/>
      <c r="Q147" s="42"/>
      <c r="S147" s="42"/>
      <c r="T147" s="42"/>
      <c r="V147" s="198"/>
      <c r="W147" s="198"/>
    </row>
    <row r="148" spans="1:23" x14ac:dyDescent="0.2">
      <c r="A148" s="42"/>
      <c r="B148" s="42"/>
      <c r="C148" s="42"/>
      <c r="D148" s="42"/>
      <c r="E148" s="42"/>
      <c r="F148" s="42"/>
      <c r="G148" s="42"/>
      <c r="H148" s="42"/>
      <c r="I148" s="42"/>
      <c r="J148" s="42"/>
      <c r="K148" s="42"/>
      <c r="L148" s="42"/>
      <c r="M148" s="42"/>
      <c r="N148" s="42"/>
      <c r="O148" s="42"/>
      <c r="P148" s="42"/>
      <c r="Q148" s="42"/>
      <c r="S148" s="42"/>
      <c r="T148" s="42"/>
      <c r="V148" s="198"/>
      <c r="W148" s="198"/>
    </row>
    <row r="149" spans="1:23" x14ac:dyDescent="0.2">
      <c r="A149" s="42"/>
      <c r="B149" s="42"/>
      <c r="C149" s="42"/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  <c r="O149" s="42"/>
      <c r="P149" s="42"/>
      <c r="Q149" s="42"/>
      <c r="S149" s="42"/>
      <c r="T149" s="42"/>
      <c r="V149" s="198"/>
      <c r="W149" s="198"/>
    </row>
    <row r="150" spans="1:23" x14ac:dyDescent="0.2">
      <c r="A150" s="42"/>
      <c r="B150" s="42"/>
      <c r="C150" s="42"/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2"/>
      <c r="O150" s="42"/>
      <c r="P150" s="42"/>
      <c r="Q150" s="42"/>
      <c r="S150" s="42"/>
      <c r="T150" s="42"/>
      <c r="V150" s="198"/>
      <c r="W150" s="198"/>
    </row>
    <row r="151" spans="1:23" x14ac:dyDescent="0.2">
      <c r="A151" s="42"/>
      <c r="B151" s="42"/>
      <c r="C151" s="42"/>
      <c r="D151" s="42"/>
      <c r="E151" s="42"/>
      <c r="F151" s="42"/>
      <c r="G151" s="42"/>
      <c r="H151" s="42"/>
      <c r="I151" s="42"/>
      <c r="J151" s="42"/>
      <c r="K151" s="42"/>
      <c r="L151" s="42"/>
      <c r="M151" s="42"/>
      <c r="N151" s="42"/>
      <c r="O151" s="42"/>
      <c r="P151" s="42"/>
      <c r="Q151" s="42"/>
      <c r="S151" s="42"/>
      <c r="T151" s="42"/>
      <c r="V151" s="198"/>
      <c r="W151" s="198"/>
    </row>
    <row r="152" spans="1:23" x14ac:dyDescent="0.2">
      <c r="A152" s="42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42"/>
      <c r="Q152" s="42"/>
      <c r="S152" s="42"/>
      <c r="T152" s="42"/>
      <c r="V152" s="198"/>
      <c r="W152" s="198"/>
    </row>
    <row r="153" spans="1:23" x14ac:dyDescent="0.2">
      <c r="A153" s="42"/>
      <c r="B153" s="42"/>
      <c r="C153" s="42"/>
      <c r="D153" s="42"/>
      <c r="E153" s="42"/>
      <c r="F153" s="42"/>
      <c r="G153" s="42"/>
      <c r="H153" s="42"/>
      <c r="I153" s="42"/>
      <c r="J153" s="42"/>
      <c r="K153" s="42"/>
      <c r="L153" s="42"/>
      <c r="M153" s="42"/>
      <c r="N153" s="42"/>
      <c r="O153" s="42"/>
      <c r="P153" s="42"/>
      <c r="Q153" s="42"/>
      <c r="S153" s="42"/>
      <c r="T153" s="42"/>
      <c r="V153" s="198"/>
      <c r="W153" s="198"/>
    </row>
    <row r="154" spans="1:23" x14ac:dyDescent="0.2">
      <c r="A154" s="42"/>
      <c r="B154" s="42"/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2"/>
      <c r="O154" s="42"/>
      <c r="P154" s="42"/>
      <c r="Q154" s="42"/>
      <c r="S154" s="42"/>
      <c r="T154" s="42"/>
      <c r="V154" s="198"/>
      <c r="W154" s="198"/>
    </row>
    <row r="155" spans="1:23" x14ac:dyDescent="0.2">
      <c r="A155" s="42"/>
      <c r="B155" s="42"/>
      <c r="C155" s="42"/>
      <c r="D155" s="42"/>
      <c r="E155" s="42"/>
      <c r="F155" s="42"/>
      <c r="G155" s="42"/>
      <c r="H155" s="42"/>
      <c r="I155" s="42"/>
      <c r="J155" s="42"/>
      <c r="K155" s="42"/>
      <c r="L155" s="42"/>
      <c r="M155" s="42"/>
      <c r="N155" s="42"/>
      <c r="O155" s="42"/>
      <c r="P155" s="42"/>
      <c r="Q155" s="42"/>
      <c r="S155" s="42"/>
      <c r="T155" s="42"/>
      <c r="V155" s="198"/>
      <c r="W155" s="198"/>
    </row>
    <row r="156" spans="1:23" x14ac:dyDescent="0.2">
      <c r="A156" s="42"/>
      <c r="B156" s="42"/>
      <c r="C156" s="42"/>
      <c r="D156" s="42"/>
      <c r="E156" s="42"/>
      <c r="F156" s="42"/>
      <c r="G156" s="42"/>
      <c r="H156" s="42"/>
      <c r="I156" s="42"/>
      <c r="J156" s="42"/>
      <c r="K156" s="42"/>
      <c r="L156" s="42"/>
      <c r="M156" s="42"/>
      <c r="N156" s="42"/>
      <c r="O156" s="42"/>
      <c r="P156" s="42"/>
      <c r="Q156" s="42"/>
      <c r="S156" s="42"/>
      <c r="T156" s="42"/>
      <c r="V156" s="198"/>
      <c r="W156" s="198"/>
    </row>
    <row r="157" spans="1:23" x14ac:dyDescent="0.2">
      <c r="A157" s="42"/>
      <c r="B157" s="42"/>
      <c r="C157" s="42"/>
      <c r="D157" s="42"/>
      <c r="E157" s="42"/>
      <c r="F157" s="42"/>
      <c r="G157" s="42"/>
      <c r="H157" s="42"/>
      <c r="I157" s="42"/>
      <c r="J157" s="42"/>
      <c r="K157" s="42"/>
      <c r="L157" s="42"/>
      <c r="M157" s="42"/>
      <c r="N157" s="42"/>
      <c r="O157" s="42"/>
      <c r="P157" s="42"/>
      <c r="Q157" s="42"/>
      <c r="S157" s="42"/>
      <c r="T157" s="42"/>
      <c r="V157" s="198"/>
      <c r="W157" s="198"/>
    </row>
    <row r="158" spans="1:23" x14ac:dyDescent="0.2">
      <c r="A158" s="42"/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2"/>
      <c r="O158" s="42"/>
      <c r="P158" s="42"/>
      <c r="Q158" s="42"/>
      <c r="S158" s="42"/>
      <c r="T158" s="42"/>
      <c r="V158" s="198"/>
      <c r="W158" s="198"/>
    </row>
    <row r="159" spans="1:23" x14ac:dyDescent="0.2">
      <c r="A159" s="42"/>
      <c r="B159" s="42"/>
      <c r="C159" s="42"/>
      <c r="D159" s="42"/>
      <c r="E159" s="42"/>
      <c r="F159" s="42"/>
      <c r="G159" s="42"/>
      <c r="H159" s="42"/>
      <c r="I159" s="42"/>
      <c r="J159" s="42"/>
      <c r="K159" s="42"/>
      <c r="L159" s="42"/>
      <c r="M159" s="42"/>
      <c r="N159" s="42"/>
      <c r="O159" s="42"/>
      <c r="P159" s="42"/>
      <c r="Q159" s="42"/>
      <c r="S159" s="42"/>
      <c r="T159" s="42"/>
      <c r="V159" s="198"/>
      <c r="W159" s="198"/>
    </row>
    <row r="160" spans="1:23" x14ac:dyDescent="0.2">
      <c r="A160" s="42"/>
      <c r="B160" s="42"/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  <c r="O160" s="42"/>
      <c r="P160" s="42"/>
      <c r="Q160" s="42"/>
      <c r="S160" s="42"/>
      <c r="T160" s="42"/>
      <c r="V160" s="198"/>
      <c r="W160" s="198"/>
    </row>
    <row r="161" spans="1:23" x14ac:dyDescent="0.2">
      <c r="A161" s="42"/>
      <c r="B161" s="42"/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42"/>
      <c r="N161" s="42"/>
      <c r="O161" s="42"/>
      <c r="P161" s="42"/>
      <c r="Q161" s="42"/>
      <c r="S161" s="42"/>
      <c r="T161" s="42"/>
      <c r="V161" s="198"/>
      <c r="W161" s="198"/>
    </row>
    <row r="162" spans="1:23" x14ac:dyDescent="0.2">
      <c r="A162" s="42"/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  <c r="O162" s="42"/>
      <c r="P162" s="42"/>
      <c r="Q162" s="42"/>
      <c r="S162" s="42"/>
      <c r="T162" s="42"/>
      <c r="V162" s="198"/>
      <c r="W162" s="198"/>
    </row>
    <row r="163" spans="1:23" x14ac:dyDescent="0.2">
      <c r="A163" s="42"/>
      <c r="B163" s="42"/>
      <c r="C163" s="42"/>
      <c r="D163" s="42"/>
      <c r="E163" s="42"/>
      <c r="F163" s="42"/>
      <c r="G163" s="42"/>
      <c r="H163" s="42"/>
      <c r="I163" s="42"/>
      <c r="J163" s="42"/>
      <c r="K163" s="42"/>
      <c r="L163" s="42"/>
      <c r="M163" s="42"/>
      <c r="N163" s="42"/>
      <c r="O163" s="42"/>
      <c r="P163" s="42"/>
      <c r="Q163" s="42"/>
      <c r="S163" s="42"/>
      <c r="T163" s="42"/>
      <c r="V163" s="198"/>
      <c r="W163" s="198"/>
    </row>
    <row r="164" spans="1:23" x14ac:dyDescent="0.2">
      <c r="A164" s="42"/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  <c r="O164" s="42"/>
      <c r="P164" s="42"/>
      <c r="Q164" s="42"/>
      <c r="S164" s="42"/>
      <c r="T164" s="42"/>
      <c r="V164" s="198"/>
      <c r="W164" s="198"/>
    </row>
    <row r="165" spans="1:23" x14ac:dyDescent="0.2">
      <c r="A165" s="42"/>
      <c r="B165" s="42"/>
      <c r="C165" s="42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2"/>
      <c r="O165" s="42"/>
      <c r="P165" s="42"/>
      <c r="Q165" s="42"/>
      <c r="S165" s="42"/>
      <c r="T165" s="42"/>
      <c r="V165" s="198"/>
      <c r="W165" s="198"/>
    </row>
    <row r="166" spans="1:23" x14ac:dyDescent="0.2">
      <c r="A166" s="42"/>
      <c r="B166" s="42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  <c r="O166" s="42"/>
      <c r="P166" s="42"/>
      <c r="Q166" s="42"/>
      <c r="S166" s="42"/>
      <c r="T166" s="42"/>
      <c r="V166" s="198"/>
      <c r="W166" s="198"/>
    </row>
    <row r="167" spans="1:23" x14ac:dyDescent="0.2">
      <c r="A167" s="42"/>
      <c r="B167" s="42"/>
      <c r="C167" s="42"/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2"/>
      <c r="O167" s="42"/>
      <c r="P167" s="42"/>
      <c r="Q167" s="42"/>
      <c r="S167" s="42"/>
      <c r="T167" s="42"/>
      <c r="V167" s="198"/>
      <c r="W167" s="198"/>
    </row>
    <row r="168" spans="1:23" x14ac:dyDescent="0.2">
      <c r="A168" s="42"/>
      <c r="B168" s="42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42"/>
      <c r="Q168" s="42"/>
      <c r="S168" s="42"/>
      <c r="T168" s="42"/>
      <c r="V168" s="198"/>
      <c r="W168" s="198"/>
    </row>
    <row r="169" spans="1:23" x14ac:dyDescent="0.2">
      <c r="A169" s="42"/>
      <c r="B169" s="42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  <c r="O169" s="42"/>
      <c r="P169" s="42"/>
      <c r="Q169" s="42"/>
      <c r="S169" s="42"/>
      <c r="T169" s="42"/>
      <c r="V169" s="198"/>
      <c r="W169" s="198"/>
    </row>
    <row r="170" spans="1:23" x14ac:dyDescent="0.2">
      <c r="A170" s="42"/>
      <c r="B170" s="42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42"/>
      <c r="Q170" s="42"/>
      <c r="S170" s="42"/>
      <c r="T170" s="42"/>
      <c r="V170" s="198"/>
      <c r="W170" s="198"/>
    </row>
    <row r="171" spans="1:23" x14ac:dyDescent="0.2">
      <c r="A171" s="42"/>
      <c r="B171" s="42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  <c r="P171" s="42"/>
      <c r="Q171" s="42"/>
      <c r="S171" s="42"/>
      <c r="T171" s="42"/>
      <c r="V171" s="198"/>
      <c r="W171" s="198"/>
    </row>
    <row r="172" spans="1:23" x14ac:dyDescent="0.2">
      <c r="A172" s="42"/>
      <c r="B172" s="42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42"/>
      <c r="Q172" s="42"/>
      <c r="S172" s="42"/>
      <c r="T172" s="42"/>
      <c r="V172" s="198"/>
      <c r="W172" s="198"/>
    </row>
    <row r="173" spans="1:23" x14ac:dyDescent="0.2">
      <c r="A173" s="42"/>
      <c r="B173" s="42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42"/>
      <c r="Q173" s="42"/>
      <c r="S173" s="42"/>
      <c r="T173" s="42"/>
      <c r="V173" s="198"/>
      <c r="W173" s="198"/>
    </row>
    <row r="174" spans="1:23" x14ac:dyDescent="0.2">
      <c r="A174" s="42"/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42"/>
      <c r="Q174" s="42"/>
      <c r="S174" s="42"/>
      <c r="T174" s="42"/>
      <c r="V174" s="198"/>
      <c r="W174" s="198"/>
    </row>
    <row r="175" spans="1:23" x14ac:dyDescent="0.2">
      <c r="A175" s="42"/>
      <c r="B175" s="42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  <c r="O175" s="42"/>
      <c r="P175" s="42"/>
      <c r="Q175" s="42"/>
      <c r="S175" s="42"/>
      <c r="T175" s="42"/>
      <c r="V175" s="198"/>
      <c r="W175" s="198"/>
    </row>
    <row r="176" spans="1:23" x14ac:dyDescent="0.2">
      <c r="A176" s="42"/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42"/>
      <c r="Q176" s="42"/>
      <c r="S176" s="42"/>
      <c r="T176" s="42"/>
      <c r="V176" s="198"/>
      <c r="W176" s="198"/>
    </row>
    <row r="177" spans="1:23" x14ac:dyDescent="0.2">
      <c r="A177" s="42"/>
      <c r="B177" s="42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42"/>
      <c r="Q177" s="42"/>
      <c r="S177" s="42"/>
      <c r="T177" s="42"/>
      <c r="V177" s="198"/>
      <c r="W177" s="198"/>
    </row>
    <row r="178" spans="1:23" x14ac:dyDescent="0.2">
      <c r="A178" s="42"/>
      <c r="B178" s="42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42"/>
      <c r="Q178" s="42"/>
      <c r="S178" s="42"/>
      <c r="T178" s="42"/>
      <c r="V178" s="198"/>
      <c r="W178" s="198"/>
    </row>
    <row r="179" spans="1:23" x14ac:dyDescent="0.2">
      <c r="A179" s="42"/>
      <c r="B179" s="42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  <c r="O179" s="42"/>
      <c r="P179" s="42"/>
      <c r="Q179" s="42"/>
      <c r="S179" s="42"/>
      <c r="T179" s="42"/>
      <c r="V179" s="198"/>
      <c r="W179" s="198"/>
    </row>
    <row r="180" spans="1:23" x14ac:dyDescent="0.2">
      <c r="A180" s="42"/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42"/>
      <c r="Q180" s="42"/>
      <c r="S180" s="42"/>
      <c r="T180" s="42"/>
      <c r="V180" s="198"/>
      <c r="W180" s="198"/>
    </row>
    <row r="181" spans="1:23" x14ac:dyDescent="0.2">
      <c r="A181" s="42"/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42"/>
      <c r="Q181" s="42"/>
      <c r="S181" s="42"/>
      <c r="T181" s="42"/>
      <c r="V181" s="198"/>
      <c r="W181" s="198"/>
    </row>
    <row r="182" spans="1:23" x14ac:dyDescent="0.2">
      <c r="A182" s="42"/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42"/>
      <c r="Q182" s="42"/>
      <c r="S182" s="42"/>
      <c r="T182" s="42"/>
      <c r="V182" s="198"/>
      <c r="W182" s="198"/>
    </row>
    <row r="183" spans="1:23" x14ac:dyDescent="0.2">
      <c r="A183" s="42"/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42"/>
      <c r="Q183" s="42"/>
      <c r="S183" s="42"/>
      <c r="T183" s="42"/>
      <c r="V183" s="198"/>
      <c r="W183" s="198"/>
    </row>
    <row r="184" spans="1:23" x14ac:dyDescent="0.2">
      <c r="A184" s="42"/>
      <c r="B184" s="42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42"/>
      <c r="Q184" s="42"/>
      <c r="S184" s="42"/>
      <c r="T184" s="42"/>
      <c r="V184" s="198"/>
      <c r="W184" s="198"/>
    </row>
    <row r="185" spans="1:23" x14ac:dyDescent="0.2">
      <c r="A185" s="42"/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42"/>
      <c r="Q185" s="42"/>
      <c r="S185" s="42"/>
      <c r="T185" s="42"/>
      <c r="V185" s="198"/>
      <c r="W185" s="198"/>
    </row>
    <row r="186" spans="1:23" x14ac:dyDescent="0.2">
      <c r="A186" s="42"/>
      <c r="B186" s="42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42"/>
      <c r="Q186" s="42"/>
      <c r="S186" s="42"/>
      <c r="T186" s="42"/>
      <c r="V186" s="198"/>
      <c r="W186" s="198"/>
    </row>
    <row r="187" spans="1:23" x14ac:dyDescent="0.2">
      <c r="A187" s="42"/>
      <c r="B187" s="42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42"/>
      <c r="Q187" s="42"/>
      <c r="S187" s="42"/>
      <c r="T187" s="42"/>
      <c r="V187" s="198"/>
      <c r="W187" s="198"/>
    </row>
    <row r="188" spans="1:23" x14ac:dyDescent="0.2">
      <c r="A188" s="42"/>
      <c r="B188" s="42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42"/>
      <c r="Q188" s="42"/>
      <c r="S188" s="42"/>
      <c r="T188" s="42"/>
      <c r="V188" s="198"/>
      <c r="W188" s="198"/>
    </row>
    <row r="189" spans="1:23" x14ac:dyDescent="0.2">
      <c r="A189" s="42"/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42"/>
      <c r="Q189" s="42"/>
      <c r="S189" s="42"/>
      <c r="T189" s="42"/>
      <c r="V189" s="198"/>
      <c r="W189" s="198"/>
    </row>
    <row r="190" spans="1:23" x14ac:dyDescent="0.2">
      <c r="A190" s="42"/>
      <c r="B190" s="42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42"/>
      <c r="Q190" s="42"/>
      <c r="S190" s="42"/>
      <c r="T190" s="42"/>
      <c r="V190" s="198"/>
      <c r="W190" s="198"/>
    </row>
    <row r="191" spans="1:23" x14ac:dyDescent="0.2">
      <c r="A191" s="42"/>
      <c r="B191" s="42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42"/>
      <c r="Q191" s="42"/>
      <c r="S191" s="42"/>
      <c r="T191" s="42"/>
      <c r="V191" s="198"/>
      <c r="W191" s="198"/>
    </row>
    <row r="192" spans="1:23" x14ac:dyDescent="0.2">
      <c r="A192" s="42"/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42"/>
      <c r="Q192" s="42"/>
      <c r="S192" s="42"/>
      <c r="T192" s="42"/>
      <c r="V192" s="198"/>
      <c r="W192" s="198"/>
    </row>
    <row r="193" spans="1:23" x14ac:dyDescent="0.2">
      <c r="A193" s="42"/>
      <c r="B193" s="42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42"/>
      <c r="Q193" s="42"/>
      <c r="S193" s="42"/>
      <c r="T193" s="42"/>
      <c r="V193" s="198"/>
      <c r="W193" s="198"/>
    </row>
    <row r="194" spans="1:23" x14ac:dyDescent="0.2">
      <c r="A194" s="42"/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42"/>
      <c r="Q194" s="42"/>
      <c r="S194" s="42"/>
      <c r="T194" s="42"/>
      <c r="V194" s="198"/>
      <c r="W194" s="198"/>
    </row>
    <row r="195" spans="1:23" x14ac:dyDescent="0.2">
      <c r="A195" s="42"/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42"/>
      <c r="Q195" s="42"/>
      <c r="S195" s="42"/>
      <c r="T195" s="42"/>
      <c r="V195" s="198"/>
      <c r="W195" s="198"/>
    </row>
    <row r="196" spans="1:23" x14ac:dyDescent="0.2">
      <c r="A196" s="42"/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42"/>
      <c r="Q196" s="42"/>
      <c r="S196" s="42"/>
      <c r="T196" s="42"/>
      <c r="V196" s="198"/>
      <c r="W196" s="198"/>
    </row>
    <row r="197" spans="1:23" x14ac:dyDescent="0.2">
      <c r="A197" s="42"/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42"/>
      <c r="Q197" s="42"/>
      <c r="S197" s="42"/>
      <c r="T197" s="42"/>
      <c r="V197" s="198"/>
      <c r="W197" s="198"/>
    </row>
    <row r="198" spans="1:23" x14ac:dyDescent="0.2">
      <c r="A198" s="42"/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42"/>
      <c r="Q198" s="42"/>
      <c r="S198" s="42"/>
      <c r="T198" s="42"/>
      <c r="V198" s="198"/>
      <c r="W198" s="198"/>
    </row>
    <row r="199" spans="1:23" x14ac:dyDescent="0.2">
      <c r="A199" s="42"/>
      <c r="B199" s="42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42"/>
      <c r="Q199" s="42"/>
      <c r="S199" s="42"/>
      <c r="T199" s="42"/>
      <c r="V199" s="198"/>
      <c r="W199" s="198"/>
    </row>
    <row r="200" spans="1:23" x14ac:dyDescent="0.2">
      <c r="A200" s="42"/>
      <c r="B200" s="42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42"/>
      <c r="Q200" s="42"/>
      <c r="S200" s="42"/>
      <c r="T200" s="42"/>
      <c r="V200" s="198"/>
      <c r="W200" s="198"/>
    </row>
    <row r="201" spans="1:23" x14ac:dyDescent="0.2">
      <c r="A201" s="42"/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42"/>
      <c r="Q201" s="42"/>
      <c r="S201" s="42"/>
      <c r="T201" s="42"/>
      <c r="V201" s="198"/>
      <c r="W201" s="198"/>
    </row>
    <row r="202" spans="1:23" x14ac:dyDescent="0.2">
      <c r="A202" s="42"/>
      <c r="B202" s="42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42"/>
      <c r="Q202" s="42"/>
      <c r="S202" s="42"/>
      <c r="T202" s="42"/>
      <c r="V202" s="198"/>
      <c r="W202" s="198"/>
    </row>
    <row r="203" spans="1:23" x14ac:dyDescent="0.2">
      <c r="A203" s="42"/>
      <c r="B203" s="42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42"/>
      <c r="Q203" s="42"/>
      <c r="S203" s="42"/>
      <c r="T203" s="42"/>
      <c r="V203" s="198"/>
      <c r="W203" s="198"/>
    </row>
    <row r="204" spans="1:23" x14ac:dyDescent="0.2">
      <c r="A204" s="42"/>
      <c r="B204" s="42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42"/>
      <c r="Q204" s="42"/>
      <c r="S204" s="42"/>
      <c r="T204" s="42"/>
      <c r="V204" s="198"/>
      <c r="W204" s="198"/>
    </row>
    <row r="205" spans="1:23" x14ac:dyDescent="0.2">
      <c r="A205" s="42"/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42"/>
      <c r="Q205" s="42"/>
      <c r="S205" s="42"/>
      <c r="T205" s="42"/>
      <c r="V205" s="198"/>
      <c r="W205" s="198"/>
    </row>
    <row r="206" spans="1:23" x14ac:dyDescent="0.2">
      <c r="A206" s="42"/>
      <c r="B206" s="42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42"/>
      <c r="Q206" s="42"/>
      <c r="S206" s="42"/>
      <c r="T206" s="42"/>
      <c r="V206" s="198"/>
      <c r="W206" s="198"/>
    </row>
    <row r="207" spans="1:23" x14ac:dyDescent="0.2">
      <c r="A207" s="42"/>
      <c r="B207" s="42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42"/>
      <c r="Q207" s="42"/>
      <c r="S207" s="42"/>
      <c r="T207" s="42"/>
      <c r="V207" s="198"/>
      <c r="W207" s="198"/>
    </row>
    <row r="208" spans="1:23" x14ac:dyDescent="0.2">
      <c r="A208" s="42"/>
      <c r="B208" s="42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42"/>
      <c r="Q208" s="42"/>
      <c r="S208" s="42"/>
      <c r="T208" s="42"/>
      <c r="V208" s="198"/>
      <c r="W208" s="198"/>
    </row>
    <row r="209" spans="1:23" x14ac:dyDescent="0.2">
      <c r="A209" s="42"/>
      <c r="B209" s="42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42"/>
      <c r="Q209" s="42"/>
      <c r="S209" s="42"/>
      <c r="T209" s="42"/>
      <c r="V209" s="198"/>
      <c r="W209" s="198"/>
    </row>
    <row r="210" spans="1:23" x14ac:dyDescent="0.2">
      <c r="A210" s="42"/>
      <c r="B210" s="42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42"/>
      <c r="Q210" s="42"/>
      <c r="S210" s="42"/>
      <c r="T210" s="42"/>
      <c r="V210" s="198"/>
      <c r="W210" s="198"/>
    </row>
    <row r="211" spans="1:23" x14ac:dyDescent="0.2">
      <c r="A211" s="42"/>
      <c r="B211" s="42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42"/>
      <c r="Q211" s="42"/>
      <c r="S211" s="42"/>
      <c r="T211" s="42"/>
      <c r="V211" s="198"/>
      <c r="W211" s="198"/>
    </row>
    <row r="212" spans="1:23" x14ac:dyDescent="0.2">
      <c r="A212" s="42"/>
      <c r="B212" s="42"/>
      <c r="C212" s="42"/>
      <c r="D212" s="42"/>
      <c r="E212" s="42"/>
      <c r="F212" s="42"/>
      <c r="G212" s="42"/>
      <c r="H212" s="42"/>
      <c r="I212" s="42"/>
      <c r="J212" s="42"/>
      <c r="K212" s="42"/>
      <c r="L212" s="42"/>
      <c r="M212" s="42"/>
      <c r="N212" s="42"/>
      <c r="O212" s="42"/>
      <c r="P212" s="42"/>
      <c r="Q212" s="42"/>
      <c r="S212" s="42"/>
      <c r="T212" s="42"/>
      <c r="V212" s="198"/>
      <c r="W212" s="198"/>
    </row>
    <row r="213" spans="1:23" x14ac:dyDescent="0.2">
      <c r="A213" s="42"/>
      <c r="B213" s="42"/>
      <c r="C213" s="42"/>
      <c r="D213" s="42"/>
      <c r="E213" s="42"/>
      <c r="F213" s="42"/>
      <c r="G213" s="42"/>
      <c r="H213" s="42"/>
      <c r="I213" s="42"/>
      <c r="J213" s="42"/>
      <c r="K213" s="42"/>
      <c r="L213" s="42"/>
      <c r="M213" s="42"/>
      <c r="N213" s="42"/>
      <c r="O213" s="42"/>
      <c r="P213" s="42"/>
      <c r="Q213" s="42"/>
      <c r="S213" s="42"/>
      <c r="T213" s="42"/>
      <c r="V213" s="198"/>
      <c r="W213" s="198"/>
    </row>
    <row r="214" spans="1:23" x14ac:dyDescent="0.2">
      <c r="A214" s="42"/>
      <c r="B214" s="42"/>
      <c r="C214" s="42"/>
      <c r="D214" s="42"/>
      <c r="E214" s="42"/>
      <c r="F214" s="42"/>
      <c r="G214" s="42"/>
      <c r="H214" s="42"/>
      <c r="I214" s="42"/>
      <c r="J214" s="42"/>
      <c r="K214" s="42"/>
      <c r="L214" s="42"/>
      <c r="M214" s="42"/>
      <c r="N214" s="42"/>
      <c r="O214" s="42"/>
      <c r="P214" s="42"/>
      <c r="Q214" s="42"/>
      <c r="S214" s="42"/>
      <c r="T214" s="42"/>
      <c r="V214" s="198"/>
      <c r="W214" s="198"/>
    </row>
    <row r="215" spans="1:23" x14ac:dyDescent="0.2">
      <c r="A215" s="42"/>
      <c r="B215" s="42"/>
      <c r="C215" s="42"/>
      <c r="D215" s="42"/>
      <c r="E215" s="42"/>
      <c r="F215" s="42"/>
      <c r="G215" s="42"/>
      <c r="H215" s="42"/>
      <c r="I215" s="42"/>
      <c r="J215" s="42"/>
      <c r="K215" s="42"/>
      <c r="L215" s="42"/>
      <c r="M215" s="42"/>
      <c r="N215" s="42"/>
      <c r="O215" s="42"/>
      <c r="P215" s="42"/>
      <c r="Q215" s="42"/>
      <c r="S215" s="42"/>
      <c r="T215" s="42"/>
      <c r="V215" s="198"/>
      <c r="W215" s="198"/>
    </row>
    <row r="216" spans="1:23" x14ac:dyDescent="0.2">
      <c r="A216" s="42"/>
      <c r="B216" s="42"/>
      <c r="C216" s="42"/>
      <c r="D216" s="42"/>
      <c r="E216" s="42"/>
      <c r="F216" s="42"/>
      <c r="G216" s="42"/>
      <c r="H216" s="42"/>
      <c r="I216" s="42"/>
      <c r="J216" s="42"/>
      <c r="K216" s="42"/>
      <c r="L216" s="42"/>
      <c r="M216" s="42"/>
      <c r="N216" s="42"/>
      <c r="O216" s="42"/>
      <c r="P216" s="42"/>
      <c r="Q216" s="42"/>
      <c r="S216" s="42"/>
      <c r="T216" s="42"/>
      <c r="V216" s="198"/>
      <c r="W216" s="198"/>
    </row>
    <row r="217" spans="1:23" x14ac:dyDescent="0.2">
      <c r="A217" s="42"/>
      <c r="B217" s="42"/>
      <c r="C217" s="42"/>
      <c r="D217" s="42"/>
      <c r="E217" s="42"/>
      <c r="F217" s="42"/>
      <c r="G217" s="42"/>
      <c r="H217" s="42"/>
      <c r="I217" s="42"/>
      <c r="J217" s="42"/>
      <c r="K217" s="42"/>
      <c r="L217" s="42"/>
      <c r="M217" s="42"/>
      <c r="N217" s="42"/>
      <c r="O217" s="42"/>
      <c r="P217" s="42"/>
      <c r="Q217" s="42"/>
      <c r="S217" s="42"/>
      <c r="T217" s="42"/>
      <c r="V217" s="198"/>
      <c r="W217" s="198"/>
    </row>
    <row r="218" spans="1:23" x14ac:dyDescent="0.2">
      <c r="A218" s="42"/>
      <c r="B218" s="42"/>
      <c r="C218" s="42"/>
      <c r="D218" s="42"/>
      <c r="E218" s="42"/>
      <c r="F218" s="42"/>
      <c r="G218" s="42"/>
      <c r="H218" s="42"/>
      <c r="I218" s="42"/>
      <c r="J218" s="42"/>
      <c r="K218" s="42"/>
      <c r="L218" s="42"/>
      <c r="M218" s="42"/>
      <c r="N218" s="42"/>
      <c r="O218" s="42"/>
      <c r="P218" s="42"/>
      <c r="Q218" s="42"/>
      <c r="S218" s="42"/>
      <c r="T218" s="42"/>
      <c r="V218" s="198"/>
      <c r="W218" s="198"/>
    </row>
    <row r="219" spans="1:23" x14ac:dyDescent="0.2">
      <c r="A219" s="42"/>
      <c r="B219" s="42"/>
      <c r="C219" s="42"/>
      <c r="D219" s="42"/>
      <c r="E219" s="42"/>
      <c r="F219" s="42"/>
      <c r="G219" s="42"/>
      <c r="H219" s="42"/>
      <c r="I219" s="42"/>
      <c r="J219" s="42"/>
      <c r="K219" s="42"/>
      <c r="L219" s="42"/>
      <c r="M219" s="42"/>
      <c r="N219" s="42"/>
      <c r="O219" s="42"/>
      <c r="P219" s="42"/>
      <c r="Q219" s="42"/>
      <c r="S219" s="42"/>
      <c r="T219" s="42"/>
      <c r="V219" s="198"/>
      <c r="W219" s="198"/>
    </row>
    <row r="220" spans="1:23" x14ac:dyDescent="0.2">
      <c r="A220" s="42"/>
      <c r="B220" s="42"/>
      <c r="C220" s="42"/>
      <c r="D220" s="42"/>
      <c r="E220" s="42"/>
      <c r="F220" s="42"/>
      <c r="G220" s="42"/>
      <c r="H220" s="42"/>
      <c r="I220" s="42"/>
      <c r="J220" s="42"/>
      <c r="K220" s="42"/>
      <c r="L220" s="42"/>
      <c r="M220" s="42"/>
      <c r="N220" s="42"/>
      <c r="O220" s="42"/>
      <c r="P220" s="42"/>
      <c r="Q220" s="42"/>
      <c r="S220" s="42"/>
      <c r="T220" s="42"/>
      <c r="V220" s="198"/>
      <c r="W220" s="198"/>
    </row>
    <row r="221" spans="1:23" x14ac:dyDescent="0.2">
      <c r="A221" s="42"/>
      <c r="B221" s="42"/>
      <c r="C221" s="42"/>
      <c r="D221" s="42"/>
      <c r="E221" s="42"/>
      <c r="F221" s="42"/>
      <c r="G221" s="42"/>
      <c r="H221" s="42"/>
      <c r="I221" s="42"/>
      <c r="J221" s="42"/>
      <c r="K221" s="42"/>
      <c r="L221" s="42"/>
      <c r="M221" s="42"/>
      <c r="N221" s="42"/>
      <c r="O221" s="42"/>
      <c r="P221" s="42"/>
      <c r="Q221" s="42"/>
      <c r="S221" s="42"/>
      <c r="T221" s="42"/>
      <c r="V221" s="198"/>
      <c r="W221" s="198"/>
    </row>
    <row r="222" spans="1:23" x14ac:dyDescent="0.2">
      <c r="A222" s="42"/>
      <c r="B222" s="42"/>
      <c r="C222" s="42"/>
      <c r="D222" s="42"/>
      <c r="E222" s="42"/>
      <c r="F222" s="42"/>
      <c r="G222" s="42"/>
      <c r="H222" s="42"/>
      <c r="I222" s="42"/>
      <c r="J222" s="42"/>
      <c r="K222" s="42"/>
      <c r="L222" s="42"/>
      <c r="M222" s="42"/>
      <c r="N222" s="42"/>
      <c r="O222" s="42"/>
      <c r="P222" s="42"/>
      <c r="Q222" s="42"/>
      <c r="S222" s="42"/>
      <c r="T222" s="42"/>
      <c r="V222" s="198"/>
      <c r="W222" s="198"/>
    </row>
    <row r="223" spans="1:23" x14ac:dyDescent="0.2">
      <c r="A223" s="42"/>
      <c r="B223" s="42"/>
      <c r="C223" s="42"/>
      <c r="D223" s="42"/>
      <c r="E223" s="42"/>
      <c r="F223" s="42"/>
      <c r="G223" s="42"/>
      <c r="H223" s="42"/>
      <c r="I223" s="42"/>
      <c r="J223" s="42"/>
      <c r="K223" s="42"/>
      <c r="L223" s="42"/>
      <c r="M223" s="42"/>
      <c r="N223" s="42"/>
      <c r="O223" s="42"/>
      <c r="P223" s="42"/>
      <c r="Q223" s="42"/>
      <c r="S223" s="42"/>
      <c r="T223" s="42"/>
      <c r="V223" s="198"/>
      <c r="W223" s="198"/>
    </row>
    <row r="224" spans="1:23" x14ac:dyDescent="0.2">
      <c r="A224" s="42"/>
      <c r="B224" s="42"/>
      <c r="C224" s="42"/>
      <c r="D224" s="42"/>
      <c r="E224" s="42"/>
      <c r="F224" s="42"/>
      <c r="G224" s="42"/>
      <c r="H224" s="42"/>
      <c r="I224" s="42"/>
      <c r="J224" s="42"/>
      <c r="K224" s="42"/>
      <c r="L224" s="42"/>
      <c r="M224" s="42"/>
      <c r="N224" s="42"/>
      <c r="O224" s="42"/>
      <c r="P224" s="42"/>
      <c r="Q224" s="42"/>
      <c r="S224" s="42"/>
      <c r="T224" s="42"/>
      <c r="V224" s="198"/>
      <c r="W224" s="198"/>
    </row>
    <row r="225" spans="1:23" x14ac:dyDescent="0.2">
      <c r="A225" s="42"/>
      <c r="B225" s="42"/>
      <c r="C225" s="42"/>
      <c r="D225" s="42"/>
      <c r="E225" s="42"/>
      <c r="F225" s="42"/>
      <c r="G225" s="42"/>
      <c r="H225" s="42"/>
      <c r="I225" s="42"/>
      <c r="J225" s="42"/>
      <c r="K225" s="42"/>
      <c r="L225" s="42"/>
      <c r="M225" s="42"/>
      <c r="N225" s="42"/>
      <c r="O225" s="42"/>
      <c r="P225" s="42"/>
      <c r="Q225" s="42"/>
      <c r="S225" s="42"/>
      <c r="T225" s="42"/>
      <c r="V225" s="198"/>
      <c r="W225" s="198"/>
    </row>
    <row r="226" spans="1:23" x14ac:dyDescent="0.2">
      <c r="A226" s="42"/>
      <c r="B226" s="42"/>
      <c r="C226" s="42"/>
      <c r="D226" s="42"/>
      <c r="E226" s="42"/>
      <c r="F226" s="42"/>
      <c r="G226" s="42"/>
      <c r="H226" s="42"/>
      <c r="I226" s="42"/>
      <c r="J226" s="42"/>
      <c r="K226" s="42"/>
      <c r="L226" s="42"/>
      <c r="M226" s="42"/>
      <c r="N226" s="42"/>
      <c r="O226" s="42"/>
      <c r="P226" s="42"/>
      <c r="Q226" s="42"/>
      <c r="S226" s="42"/>
      <c r="T226" s="42"/>
      <c r="V226" s="198"/>
      <c r="W226" s="198"/>
    </row>
    <row r="227" spans="1:23" x14ac:dyDescent="0.2">
      <c r="A227" s="42"/>
      <c r="B227" s="42"/>
      <c r="C227" s="42"/>
      <c r="D227" s="42"/>
      <c r="E227" s="42"/>
      <c r="F227" s="42"/>
      <c r="G227" s="42"/>
      <c r="H227" s="42"/>
      <c r="I227" s="42"/>
      <c r="J227" s="42"/>
      <c r="K227" s="42"/>
      <c r="L227" s="42"/>
      <c r="M227" s="42"/>
      <c r="N227" s="42"/>
      <c r="O227" s="42"/>
      <c r="P227" s="42"/>
      <c r="Q227" s="42"/>
      <c r="S227" s="42"/>
      <c r="T227" s="42"/>
      <c r="V227" s="198"/>
      <c r="W227" s="198"/>
    </row>
    <row r="228" spans="1:23" x14ac:dyDescent="0.2">
      <c r="A228" s="42"/>
      <c r="B228" s="42"/>
      <c r="C228" s="42"/>
      <c r="D228" s="42"/>
      <c r="E228" s="42"/>
      <c r="F228" s="42"/>
      <c r="G228" s="42"/>
      <c r="H228" s="42"/>
      <c r="I228" s="42"/>
      <c r="J228" s="42"/>
      <c r="K228" s="42"/>
      <c r="L228" s="42"/>
      <c r="M228" s="42"/>
      <c r="N228" s="42"/>
      <c r="O228" s="42"/>
      <c r="P228" s="42"/>
      <c r="Q228" s="42"/>
      <c r="S228" s="42"/>
      <c r="T228" s="42"/>
      <c r="V228" s="198"/>
      <c r="W228" s="198"/>
    </row>
    <row r="229" spans="1:23" x14ac:dyDescent="0.2">
      <c r="A229" s="42"/>
      <c r="B229" s="42"/>
      <c r="C229" s="42"/>
      <c r="D229" s="42"/>
      <c r="E229" s="42"/>
      <c r="F229" s="42"/>
      <c r="G229" s="42"/>
      <c r="H229" s="42"/>
      <c r="I229" s="42"/>
      <c r="J229" s="42"/>
      <c r="K229" s="42"/>
      <c r="L229" s="42"/>
      <c r="M229" s="42"/>
      <c r="N229" s="42"/>
      <c r="O229" s="42"/>
      <c r="P229" s="42"/>
      <c r="Q229" s="42"/>
      <c r="S229" s="42"/>
      <c r="T229" s="42"/>
      <c r="V229" s="198"/>
      <c r="W229" s="198"/>
    </row>
    <row r="230" spans="1:23" x14ac:dyDescent="0.2">
      <c r="A230" s="42"/>
      <c r="B230" s="42"/>
      <c r="C230" s="42"/>
      <c r="D230" s="42"/>
      <c r="E230" s="42"/>
      <c r="F230" s="42"/>
      <c r="G230" s="42"/>
      <c r="H230" s="42"/>
      <c r="I230" s="42"/>
      <c r="J230" s="42"/>
      <c r="K230" s="42"/>
      <c r="L230" s="42"/>
      <c r="M230" s="42"/>
      <c r="N230" s="42"/>
      <c r="O230" s="42"/>
      <c r="P230" s="42"/>
      <c r="Q230" s="42"/>
      <c r="S230" s="42"/>
      <c r="T230" s="42"/>
      <c r="V230" s="198"/>
      <c r="W230" s="198"/>
    </row>
    <row r="231" spans="1:23" x14ac:dyDescent="0.2">
      <c r="J231" s="42"/>
      <c r="L231" s="42"/>
      <c r="N231" s="42"/>
      <c r="O231" s="42"/>
      <c r="Q231" s="42"/>
      <c r="T231" s="42"/>
      <c r="W231" s="198"/>
    </row>
    <row r="232" spans="1:23" x14ac:dyDescent="0.2">
      <c r="O232" s="42"/>
    </row>
  </sheetData>
  <mergeCells count="132">
    <mergeCell ref="D128:E128"/>
    <mergeCell ref="B122:F122"/>
    <mergeCell ref="D129:E129"/>
    <mergeCell ref="C130:E130"/>
    <mergeCell ref="D131:E131"/>
    <mergeCell ref="C132:E132"/>
    <mergeCell ref="B123:N123"/>
    <mergeCell ref="C124:E124"/>
    <mergeCell ref="D125:E125"/>
    <mergeCell ref="D126:E126"/>
    <mergeCell ref="D127:E127"/>
    <mergeCell ref="C116:D116"/>
    <mergeCell ref="C117:D117"/>
    <mergeCell ref="C118:D118"/>
    <mergeCell ref="C119:D119"/>
    <mergeCell ref="C120:D120"/>
    <mergeCell ref="C121:E121"/>
    <mergeCell ref="C109:D109"/>
    <mergeCell ref="C110:D110"/>
    <mergeCell ref="C111:E111"/>
    <mergeCell ref="B113:N113"/>
    <mergeCell ref="C114:D114"/>
    <mergeCell ref="C115:D115"/>
    <mergeCell ref="C102:D102"/>
    <mergeCell ref="B103:D103"/>
    <mergeCell ref="B105:N105"/>
    <mergeCell ref="C106:D106"/>
    <mergeCell ref="C107:D107"/>
    <mergeCell ref="C108:D108"/>
    <mergeCell ref="C95:D95"/>
    <mergeCell ref="C96:D96"/>
    <mergeCell ref="B97:E97"/>
    <mergeCell ref="B99:N99"/>
    <mergeCell ref="C100:D100"/>
    <mergeCell ref="C101:D101"/>
    <mergeCell ref="C88:D88"/>
    <mergeCell ref="C89:D89"/>
    <mergeCell ref="C90:D90"/>
    <mergeCell ref="C91:D91"/>
    <mergeCell ref="B92:D92"/>
    <mergeCell ref="B94:N94"/>
    <mergeCell ref="B81:D81"/>
    <mergeCell ref="B83:N83"/>
    <mergeCell ref="B84:N84"/>
    <mergeCell ref="C85:D85"/>
    <mergeCell ref="C86:D86"/>
    <mergeCell ref="C87:D87"/>
    <mergeCell ref="C75:D75"/>
    <mergeCell ref="C76:D76"/>
    <mergeCell ref="C77:D77"/>
    <mergeCell ref="C78:D78"/>
    <mergeCell ref="C79:D79"/>
    <mergeCell ref="C80:D80"/>
    <mergeCell ref="C68:D68"/>
    <mergeCell ref="C69:D69"/>
    <mergeCell ref="C70:D70"/>
    <mergeCell ref="B71:D71"/>
    <mergeCell ref="B73:N73"/>
    <mergeCell ref="C74:D74"/>
    <mergeCell ref="C61:D61"/>
    <mergeCell ref="C62:D62"/>
    <mergeCell ref="C63:D63"/>
    <mergeCell ref="B64:E64"/>
    <mergeCell ref="B66:N66"/>
    <mergeCell ref="C67:D67"/>
    <mergeCell ref="C54:D54"/>
    <mergeCell ref="C55:D55"/>
    <mergeCell ref="B56:D56"/>
    <mergeCell ref="B58:N58"/>
    <mergeCell ref="C59:D59"/>
    <mergeCell ref="C60:D60"/>
    <mergeCell ref="C48:D48"/>
    <mergeCell ref="C49:D49"/>
    <mergeCell ref="C50:D50"/>
    <mergeCell ref="C51:D51"/>
    <mergeCell ref="C52:D52"/>
    <mergeCell ref="C53:D53"/>
    <mergeCell ref="C41:E41"/>
    <mergeCell ref="C42:D42"/>
    <mergeCell ref="C43:D43"/>
    <mergeCell ref="B44:D44"/>
    <mergeCell ref="B46:N46"/>
    <mergeCell ref="C47:D47"/>
    <mergeCell ref="C34:D34"/>
    <mergeCell ref="C35:D35"/>
    <mergeCell ref="C36:D36"/>
    <mergeCell ref="C37:E37"/>
    <mergeCell ref="B39:N39"/>
    <mergeCell ref="B40:N40"/>
    <mergeCell ref="B28:N28"/>
    <mergeCell ref="C29:D29"/>
    <mergeCell ref="C30:D30"/>
    <mergeCell ref="C31:D31"/>
    <mergeCell ref="C32:D32"/>
    <mergeCell ref="C33:D33"/>
    <mergeCell ref="C24:E24"/>
    <mergeCell ref="F24:N24"/>
    <mergeCell ref="C25:E25"/>
    <mergeCell ref="F25:N25"/>
    <mergeCell ref="C26:E26"/>
    <mergeCell ref="F26:N26"/>
    <mergeCell ref="B19:C19"/>
    <mergeCell ref="E19:G19"/>
    <mergeCell ref="H19:N19"/>
    <mergeCell ref="B20:N20"/>
    <mergeCell ref="B21:N22"/>
    <mergeCell ref="C23:E23"/>
    <mergeCell ref="F23:N23"/>
    <mergeCell ref="C15:E15"/>
    <mergeCell ref="F15:N15"/>
    <mergeCell ref="B17:N17"/>
    <mergeCell ref="B18:C18"/>
    <mergeCell ref="E18:G18"/>
    <mergeCell ref="H18:N18"/>
    <mergeCell ref="C8:E8"/>
    <mergeCell ref="F8:N8"/>
    <mergeCell ref="B10:N10"/>
    <mergeCell ref="C11:E11"/>
    <mergeCell ref="F11:N11"/>
    <mergeCell ref="C13:E13"/>
    <mergeCell ref="F13:N13"/>
    <mergeCell ref="C12:E12"/>
    <mergeCell ref="F12:N12"/>
    <mergeCell ref="B2:N2"/>
    <mergeCell ref="B3:N3"/>
    <mergeCell ref="B4:N4"/>
    <mergeCell ref="B5:N5"/>
    <mergeCell ref="B6:N6"/>
    <mergeCell ref="C7:E7"/>
    <mergeCell ref="F7:N7"/>
    <mergeCell ref="C14:E14"/>
    <mergeCell ref="F14:N14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55" fitToHeight="0" orientation="portrait" r:id="rId1"/>
  <rowBreaks count="1" manualBreakCount="1">
    <brk id="71" min="1" max="9" man="1"/>
  </rowBreaks>
  <colBreaks count="1" manualBreakCount="1">
    <brk id="2" min="1" max="130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34BB19-EEB2-4CF7-8C61-DDAAB0EBA9F8}">
  <sheetPr>
    <pageSetUpPr fitToPage="1"/>
  </sheetPr>
  <dimension ref="A1:Z232"/>
  <sheetViews>
    <sheetView tabSelected="1" view="pageBreakPreview" topLeftCell="A81" zoomScaleNormal="100" zoomScaleSheetLayoutView="100" workbookViewId="0">
      <selection activeCell="E87" sqref="E87"/>
    </sheetView>
  </sheetViews>
  <sheetFormatPr defaultRowHeight="12.75" x14ac:dyDescent="0.2"/>
  <cols>
    <col min="1" max="1" width="2.42578125" style="68" customWidth="1"/>
    <col min="2" max="2" width="5.42578125" style="68" customWidth="1"/>
    <col min="3" max="3" width="10.140625" style="68" customWidth="1"/>
    <col min="4" max="4" width="40.42578125" style="68" customWidth="1"/>
    <col min="5" max="5" width="9.7109375" style="68" customWidth="1"/>
    <col min="6" max="6" width="16.140625" style="68" customWidth="1"/>
    <col min="7" max="7" width="9.7109375" style="68" customWidth="1"/>
    <col min="8" max="8" width="16.140625" style="68" customWidth="1"/>
    <col min="9" max="9" width="9.7109375" style="68" customWidth="1"/>
    <col min="10" max="10" width="16.140625" style="68" customWidth="1"/>
    <col min="11" max="11" width="9.7109375" style="68" customWidth="1"/>
    <col min="12" max="12" width="16.140625" style="68" customWidth="1"/>
    <col min="13" max="13" width="9.7109375" style="68" customWidth="1"/>
    <col min="14" max="14" width="16.140625" style="68" customWidth="1"/>
    <col min="15" max="15" width="9.140625" style="68"/>
    <col min="16" max="16" width="9.7109375" style="68" customWidth="1"/>
    <col min="17" max="17" width="16.140625" style="68" customWidth="1"/>
    <col min="18" max="18" width="9.140625" style="68"/>
    <col min="19" max="19" width="9.7109375" style="68" customWidth="1"/>
    <col min="20" max="20" width="16.140625" style="68" customWidth="1"/>
    <col min="21" max="21" width="9.140625" style="68"/>
    <col min="22" max="22" width="9.7109375" style="68" customWidth="1"/>
    <col min="23" max="23" width="17.5703125" style="68" customWidth="1"/>
    <col min="24" max="24" width="9.140625" style="68"/>
    <col min="25" max="25" width="11.85546875" style="68" customWidth="1"/>
    <col min="26" max="26" width="16.140625" style="68" customWidth="1"/>
    <col min="27" max="16384" width="9.140625" style="68"/>
  </cols>
  <sheetData>
    <row r="1" spans="1:26" ht="13.5" thickBot="1" x14ac:dyDescent="0.25">
      <c r="A1" s="42"/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V1" s="42"/>
      <c r="W1" s="42"/>
      <c r="Y1" s="42"/>
      <c r="Z1" s="42"/>
    </row>
    <row r="2" spans="1:26" ht="15" x14ac:dyDescent="0.25">
      <c r="A2" s="42"/>
      <c r="B2" s="363" t="s">
        <v>17</v>
      </c>
      <c r="C2" s="364"/>
      <c r="D2" s="364"/>
      <c r="E2" s="364"/>
      <c r="F2" s="364"/>
      <c r="G2" s="364"/>
      <c r="H2" s="364"/>
      <c r="I2" s="364"/>
      <c r="J2" s="364"/>
      <c r="K2" s="364"/>
      <c r="L2" s="364"/>
      <c r="M2" s="364"/>
      <c r="N2" s="365"/>
      <c r="O2" s="42"/>
      <c r="P2" s="42"/>
      <c r="Q2" s="42"/>
      <c r="R2" s="42"/>
      <c r="S2" s="42"/>
      <c r="T2" s="42"/>
      <c r="V2" s="42"/>
      <c r="W2" s="42"/>
      <c r="Y2" s="42"/>
      <c r="Z2" s="42"/>
    </row>
    <row r="3" spans="1:26" ht="15" customHeight="1" x14ac:dyDescent="0.25">
      <c r="A3" s="42"/>
      <c r="B3" s="366" t="s">
        <v>70</v>
      </c>
      <c r="C3" s="367"/>
      <c r="D3" s="367"/>
      <c r="E3" s="367"/>
      <c r="F3" s="367"/>
      <c r="G3" s="367"/>
      <c r="H3" s="367"/>
      <c r="I3" s="367"/>
      <c r="J3" s="367"/>
      <c r="K3" s="367"/>
      <c r="L3" s="367"/>
      <c r="M3" s="367"/>
      <c r="N3" s="368"/>
      <c r="O3" s="42"/>
      <c r="P3" s="42"/>
      <c r="Q3" s="42"/>
      <c r="R3" s="42"/>
      <c r="S3" s="42"/>
      <c r="T3" s="42"/>
      <c r="V3" s="42"/>
      <c r="W3" s="42"/>
      <c r="Y3" s="42"/>
      <c r="Z3" s="42"/>
    </row>
    <row r="4" spans="1:26" ht="15" customHeight="1" x14ac:dyDescent="0.25">
      <c r="A4" s="42"/>
      <c r="B4" s="366" t="s">
        <v>19</v>
      </c>
      <c r="C4" s="367"/>
      <c r="D4" s="367"/>
      <c r="E4" s="367"/>
      <c r="F4" s="367"/>
      <c r="G4" s="367"/>
      <c r="H4" s="367"/>
      <c r="I4" s="367"/>
      <c r="J4" s="367"/>
      <c r="K4" s="367"/>
      <c r="L4" s="367"/>
      <c r="M4" s="367"/>
      <c r="N4" s="368"/>
      <c r="O4" s="42"/>
      <c r="P4" s="42"/>
      <c r="Q4" s="42"/>
      <c r="R4" s="42"/>
      <c r="S4" s="42"/>
      <c r="T4" s="42"/>
      <c r="V4" s="42"/>
      <c r="W4" s="42"/>
      <c r="Y4" s="42"/>
      <c r="Z4" s="42"/>
    </row>
    <row r="5" spans="1:26" ht="15.75" thickBot="1" x14ac:dyDescent="0.3">
      <c r="A5" s="42"/>
      <c r="B5" s="366" t="s">
        <v>126</v>
      </c>
      <c r="C5" s="367"/>
      <c r="D5" s="367"/>
      <c r="E5" s="367"/>
      <c r="F5" s="367"/>
      <c r="G5" s="367"/>
      <c r="H5" s="367"/>
      <c r="I5" s="367"/>
      <c r="J5" s="367"/>
      <c r="K5" s="367"/>
      <c r="L5" s="367"/>
      <c r="M5" s="367"/>
      <c r="N5" s="368"/>
      <c r="O5" s="42"/>
      <c r="P5" s="42"/>
      <c r="Q5" s="42"/>
      <c r="R5" s="42"/>
      <c r="S5" s="42"/>
      <c r="T5" s="42"/>
      <c r="V5" s="42"/>
      <c r="W5" s="42"/>
      <c r="Y5" s="42"/>
      <c r="Z5" s="42"/>
    </row>
    <row r="6" spans="1:26" ht="15.75" thickBot="1" x14ac:dyDescent="0.3">
      <c r="A6" s="42"/>
      <c r="B6" s="369" t="s">
        <v>32</v>
      </c>
      <c r="C6" s="370"/>
      <c r="D6" s="370"/>
      <c r="E6" s="370"/>
      <c r="F6" s="370"/>
      <c r="G6" s="370"/>
      <c r="H6" s="370"/>
      <c r="I6" s="370"/>
      <c r="J6" s="370"/>
      <c r="K6" s="370"/>
      <c r="L6" s="370"/>
      <c r="M6" s="370"/>
      <c r="N6" s="371"/>
      <c r="O6" s="42"/>
      <c r="P6" s="42"/>
      <c r="Q6" s="42"/>
      <c r="R6" s="42"/>
      <c r="S6" s="42"/>
      <c r="T6" s="42"/>
      <c r="V6" s="42"/>
      <c r="W6" s="42"/>
      <c r="Y6" s="42"/>
      <c r="Z6" s="42"/>
    </row>
    <row r="7" spans="1:26" ht="15.75" thickBot="1" x14ac:dyDescent="0.3">
      <c r="A7" s="42"/>
      <c r="B7" s="41"/>
      <c r="C7" s="372" t="s">
        <v>20</v>
      </c>
      <c r="D7" s="373"/>
      <c r="E7" s="374"/>
      <c r="F7" s="375" t="s">
        <v>221</v>
      </c>
      <c r="G7" s="376"/>
      <c r="H7" s="376"/>
      <c r="I7" s="376"/>
      <c r="J7" s="376"/>
      <c r="K7" s="376"/>
      <c r="L7" s="376"/>
      <c r="M7" s="376"/>
      <c r="N7" s="377"/>
      <c r="O7" s="42"/>
      <c r="P7" s="42"/>
      <c r="Q7" s="42"/>
      <c r="R7" s="42"/>
      <c r="S7" s="42"/>
      <c r="T7" s="42"/>
      <c r="V7" s="42"/>
      <c r="W7" s="42"/>
      <c r="Y7" s="42"/>
      <c r="Z7" s="42"/>
    </row>
    <row r="8" spans="1:26" ht="15.75" thickBot="1" x14ac:dyDescent="0.3">
      <c r="A8" s="42"/>
      <c r="B8" s="69"/>
      <c r="C8" s="395" t="s">
        <v>72</v>
      </c>
      <c r="D8" s="396"/>
      <c r="E8" s="397"/>
      <c r="F8" s="398" t="s">
        <v>222</v>
      </c>
      <c r="G8" s="399"/>
      <c r="H8" s="399"/>
      <c r="I8" s="399"/>
      <c r="J8" s="399"/>
      <c r="K8" s="399"/>
      <c r="L8" s="399"/>
      <c r="M8" s="399"/>
      <c r="N8" s="400"/>
      <c r="O8" s="42"/>
      <c r="P8" s="42"/>
      <c r="Q8" s="42"/>
      <c r="R8" s="42"/>
      <c r="S8" s="42"/>
      <c r="T8" s="42"/>
      <c r="V8" s="42"/>
      <c r="W8" s="42"/>
      <c r="Y8" s="42"/>
      <c r="Z8" s="42"/>
    </row>
    <row r="9" spans="1:26" ht="15" thickBot="1" x14ac:dyDescent="0.25">
      <c r="A9" s="42"/>
      <c r="B9" s="42"/>
      <c r="C9" s="1"/>
      <c r="D9" s="42"/>
      <c r="E9" s="42"/>
      <c r="F9" s="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V9" s="42"/>
      <c r="W9" s="42"/>
      <c r="Y9" s="42"/>
      <c r="Z9" s="42"/>
    </row>
    <row r="10" spans="1:26" ht="15.75" thickBot="1" x14ac:dyDescent="0.3">
      <c r="A10" s="42"/>
      <c r="B10" s="363" t="s">
        <v>33</v>
      </c>
      <c r="C10" s="364"/>
      <c r="D10" s="364"/>
      <c r="E10" s="364"/>
      <c r="F10" s="364"/>
      <c r="G10" s="364"/>
      <c r="H10" s="364"/>
      <c r="I10" s="364"/>
      <c r="J10" s="364"/>
      <c r="K10" s="364"/>
      <c r="L10" s="364"/>
      <c r="M10" s="364"/>
      <c r="N10" s="365"/>
      <c r="O10" s="42"/>
      <c r="P10" s="42"/>
      <c r="Q10" s="42"/>
      <c r="R10" s="42"/>
      <c r="S10" s="42"/>
      <c r="T10" s="42"/>
      <c r="V10" s="42"/>
      <c r="W10" s="42"/>
      <c r="Y10" s="42"/>
      <c r="Z10" s="42"/>
    </row>
    <row r="11" spans="1:26" x14ac:dyDescent="0.2">
      <c r="A11" s="42"/>
      <c r="B11" s="70" t="s">
        <v>1</v>
      </c>
      <c r="C11" s="401" t="s">
        <v>21</v>
      </c>
      <c r="D11" s="402"/>
      <c r="E11" s="402"/>
      <c r="F11" s="403">
        <v>43969</v>
      </c>
      <c r="G11" s="404"/>
      <c r="H11" s="404"/>
      <c r="I11" s="404"/>
      <c r="J11" s="404"/>
      <c r="K11" s="404"/>
      <c r="L11" s="404"/>
      <c r="M11" s="404"/>
      <c r="N11" s="405"/>
      <c r="O11" s="42"/>
      <c r="P11" s="42"/>
      <c r="Q11" s="42"/>
      <c r="R11" s="42"/>
      <c r="S11" s="42"/>
      <c r="T11" s="42"/>
      <c r="V11" s="42"/>
      <c r="W11" s="42"/>
      <c r="Y11" s="42"/>
      <c r="Z11" s="42"/>
    </row>
    <row r="12" spans="1:26" x14ac:dyDescent="0.2">
      <c r="A12" s="42"/>
      <c r="B12" s="197" t="s">
        <v>2</v>
      </c>
      <c r="C12" s="200" t="s">
        <v>244</v>
      </c>
      <c r="D12" s="201"/>
      <c r="E12" s="201"/>
      <c r="F12" s="380">
        <v>45450</v>
      </c>
      <c r="G12" s="407"/>
      <c r="H12" s="407"/>
      <c r="I12" s="407"/>
      <c r="J12" s="407"/>
      <c r="K12" s="407"/>
      <c r="L12" s="407"/>
      <c r="M12" s="407"/>
      <c r="N12" s="408"/>
      <c r="O12" s="42"/>
      <c r="P12" s="42"/>
      <c r="Q12" s="42"/>
      <c r="R12" s="42"/>
      <c r="S12" s="42"/>
      <c r="T12" s="42"/>
      <c r="V12" s="42"/>
      <c r="W12" s="42"/>
      <c r="Y12" s="42"/>
      <c r="Z12" s="42"/>
    </row>
    <row r="13" spans="1:26" x14ac:dyDescent="0.2">
      <c r="A13" s="42"/>
      <c r="B13" s="71" t="s">
        <v>4</v>
      </c>
      <c r="C13" s="378" t="s">
        <v>3</v>
      </c>
      <c r="D13" s="379"/>
      <c r="E13" s="446"/>
      <c r="F13" s="406" t="s">
        <v>75</v>
      </c>
      <c r="G13" s="407"/>
      <c r="H13" s="407"/>
      <c r="I13" s="407"/>
      <c r="J13" s="407"/>
      <c r="K13" s="407"/>
      <c r="L13" s="407"/>
      <c r="M13" s="407"/>
      <c r="N13" s="408"/>
      <c r="O13" s="42"/>
      <c r="P13" s="42"/>
      <c r="Q13" s="42"/>
      <c r="R13" s="42"/>
      <c r="S13" s="42"/>
      <c r="T13" s="42"/>
      <c r="V13" s="42"/>
      <c r="W13" s="42"/>
      <c r="Y13" s="42"/>
      <c r="Z13" s="42"/>
    </row>
    <row r="14" spans="1:26" x14ac:dyDescent="0.2">
      <c r="A14" s="42"/>
      <c r="B14" s="71" t="s">
        <v>5</v>
      </c>
      <c r="C14" s="378" t="s">
        <v>22</v>
      </c>
      <c r="D14" s="379"/>
      <c r="E14" s="446"/>
      <c r="F14" s="380" t="s">
        <v>294</v>
      </c>
      <c r="G14" s="381"/>
      <c r="H14" s="381"/>
      <c r="I14" s="381"/>
      <c r="J14" s="381"/>
      <c r="K14" s="381"/>
      <c r="L14" s="381"/>
      <c r="M14" s="381"/>
      <c r="N14" s="382"/>
      <c r="O14" s="42"/>
      <c r="P14" s="42"/>
      <c r="Q14" s="42"/>
      <c r="R14" s="42"/>
      <c r="S14" s="42"/>
      <c r="T14" s="42"/>
      <c r="V14" s="42"/>
      <c r="W14" s="42"/>
      <c r="Y14" s="42"/>
      <c r="Z14" s="42"/>
    </row>
    <row r="15" spans="1:26" ht="13.5" thickBot="1" x14ac:dyDescent="0.25">
      <c r="A15" s="42"/>
      <c r="B15" s="72" t="s">
        <v>6</v>
      </c>
      <c r="C15" s="383" t="s">
        <v>23</v>
      </c>
      <c r="D15" s="384"/>
      <c r="E15" s="451"/>
      <c r="F15" s="385">
        <v>12</v>
      </c>
      <c r="G15" s="386"/>
      <c r="H15" s="386"/>
      <c r="I15" s="386"/>
      <c r="J15" s="386"/>
      <c r="K15" s="386"/>
      <c r="L15" s="386"/>
      <c r="M15" s="386"/>
      <c r="N15" s="387"/>
      <c r="O15" s="42"/>
      <c r="P15" s="42"/>
      <c r="Q15" s="42"/>
      <c r="R15" s="42"/>
      <c r="S15" s="42"/>
      <c r="T15" s="42"/>
      <c r="V15" s="42"/>
      <c r="W15" s="42"/>
      <c r="Y15" s="42"/>
      <c r="Z15" s="42"/>
    </row>
    <row r="16" spans="1:26" x14ac:dyDescent="0.2">
      <c r="A16" s="42"/>
      <c r="B16" s="73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V16" s="42"/>
      <c r="W16" s="42"/>
      <c r="Y16" s="42"/>
      <c r="Z16" s="42"/>
    </row>
    <row r="17" spans="1:26" ht="15.75" thickBot="1" x14ac:dyDescent="0.3">
      <c r="A17" s="42"/>
      <c r="B17" s="465" t="s">
        <v>34</v>
      </c>
      <c r="C17" s="465"/>
      <c r="D17" s="465"/>
      <c r="E17" s="465"/>
      <c r="F17" s="465"/>
      <c r="G17" s="465"/>
      <c r="H17" s="465"/>
      <c r="I17" s="465"/>
      <c r="J17" s="465"/>
      <c r="K17" s="465"/>
      <c r="L17" s="465"/>
      <c r="M17" s="465"/>
      <c r="N17" s="465"/>
      <c r="O17" s="42"/>
      <c r="P17" s="42"/>
      <c r="Q17" s="42"/>
      <c r="R17" s="42"/>
      <c r="S17" s="42"/>
      <c r="T17" s="42"/>
      <c r="V17" s="42"/>
      <c r="W17" s="42"/>
      <c r="Y17" s="42"/>
      <c r="Z17" s="42"/>
    </row>
    <row r="18" spans="1:26" ht="13.5" thickBot="1" x14ac:dyDescent="0.25">
      <c r="A18" s="42"/>
      <c r="B18" s="388" t="s">
        <v>24</v>
      </c>
      <c r="C18" s="373"/>
      <c r="D18" s="15" t="s">
        <v>25</v>
      </c>
      <c r="E18" s="389" t="s">
        <v>26</v>
      </c>
      <c r="F18" s="390"/>
      <c r="G18" s="391"/>
      <c r="H18" s="392" t="s">
        <v>62</v>
      </c>
      <c r="I18" s="393"/>
      <c r="J18" s="393"/>
      <c r="K18" s="393"/>
      <c r="L18" s="393"/>
      <c r="M18" s="393"/>
      <c r="N18" s="394"/>
      <c r="O18" s="42"/>
      <c r="P18" s="42"/>
      <c r="Q18" s="42"/>
      <c r="R18" s="42"/>
      <c r="S18" s="42"/>
      <c r="T18" s="42"/>
      <c r="V18" s="42"/>
      <c r="W18" s="42"/>
      <c r="Y18" s="42"/>
      <c r="Z18" s="42"/>
    </row>
    <row r="19" spans="1:26" x14ac:dyDescent="0.2">
      <c r="A19" s="42"/>
      <c r="B19" s="422" t="s">
        <v>223</v>
      </c>
      <c r="C19" s="423"/>
      <c r="D19" s="140" t="s">
        <v>66</v>
      </c>
      <c r="E19" s="424">
        <v>8</v>
      </c>
      <c r="F19" s="424"/>
      <c r="G19" s="424"/>
      <c r="H19" s="425">
        <v>2</v>
      </c>
      <c r="I19" s="426"/>
      <c r="J19" s="426"/>
      <c r="K19" s="426"/>
      <c r="L19" s="426"/>
      <c r="M19" s="426"/>
      <c r="N19" s="427"/>
      <c r="O19" s="42"/>
      <c r="P19" s="42"/>
      <c r="Q19" s="42"/>
      <c r="R19" s="42"/>
      <c r="S19" s="42"/>
      <c r="T19" s="42"/>
      <c r="V19" s="42"/>
      <c r="W19" s="42"/>
      <c r="Y19" s="42"/>
      <c r="Z19" s="42"/>
    </row>
    <row r="20" spans="1:26" ht="13.5" thickBot="1" x14ac:dyDescent="0.25">
      <c r="A20" s="42"/>
      <c r="B20" s="383"/>
      <c r="C20" s="384"/>
      <c r="D20" s="384"/>
      <c r="E20" s="384"/>
      <c r="F20" s="384"/>
      <c r="G20" s="384"/>
      <c r="H20" s="384"/>
      <c r="I20" s="384"/>
      <c r="J20" s="384"/>
      <c r="K20" s="384"/>
      <c r="L20" s="384"/>
      <c r="M20" s="384"/>
      <c r="N20" s="451"/>
      <c r="O20" s="42"/>
      <c r="P20" s="42"/>
      <c r="Q20" s="42"/>
      <c r="R20" s="42"/>
      <c r="S20" s="42"/>
      <c r="T20" s="42"/>
      <c r="V20" s="42"/>
      <c r="W20" s="42"/>
      <c r="Y20" s="42"/>
      <c r="Z20" s="42"/>
    </row>
    <row r="21" spans="1:26" ht="12.75" customHeight="1" x14ac:dyDescent="0.2">
      <c r="A21" s="42"/>
      <c r="B21" s="466" t="s">
        <v>27</v>
      </c>
      <c r="C21" s="466"/>
      <c r="D21" s="466"/>
      <c r="E21" s="466"/>
      <c r="F21" s="466"/>
      <c r="G21" s="466"/>
      <c r="H21" s="466"/>
      <c r="I21" s="466"/>
      <c r="J21" s="466"/>
      <c r="K21" s="466"/>
      <c r="L21" s="466"/>
      <c r="M21" s="466"/>
      <c r="N21" s="466"/>
      <c r="O21" s="42"/>
      <c r="P21" s="42"/>
      <c r="Q21" s="42"/>
      <c r="R21" s="42"/>
      <c r="S21" s="42"/>
      <c r="T21" s="42"/>
      <c r="V21" s="42"/>
      <c r="W21" s="42"/>
      <c r="Y21" s="42"/>
      <c r="Z21" s="42"/>
    </row>
    <row r="22" spans="1:26" ht="13.5" customHeight="1" thickBot="1" x14ac:dyDescent="0.25">
      <c r="A22" s="42"/>
      <c r="B22" s="467"/>
      <c r="C22" s="467"/>
      <c r="D22" s="467"/>
      <c r="E22" s="467"/>
      <c r="F22" s="467"/>
      <c r="G22" s="467"/>
      <c r="H22" s="467"/>
      <c r="I22" s="467"/>
      <c r="J22" s="467"/>
      <c r="K22" s="467"/>
      <c r="L22" s="467"/>
      <c r="M22" s="467"/>
      <c r="N22" s="467"/>
      <c r="O22" s="42"/>
      <c r="P22" s="42"/>
      <c r="Q22" s="42"/>
      <c r="R22" s="42"/>
      <c r="S22" s="42"/>
      <c r="T22" s="42"/>
      <c r="V22" s="42"/>
      <c r="W22" s="42"/>
      <c r="Y22" s="42"/>
      <c r="Z22" s="42"/>
    </row>
    <row r="23" spans="1:26" x14ac:dyDescent="0.2">
      <c r="A23" s="42"/>
      <c r="B23" s="74">
        <v>1</v>
      </c>
      <c r="C23" s="401" t="s">
        <v>28</v>
      </c>
      <c r="D23" s="402"/>
      <c r="E23" s="461"/>
      <c r="F23" s="435" t="str">
        <f>B19</f>
        <v>Vigilante Diurno 12x36 Armado</v>
      </c>
      <c r="G23" s="436"/>
      <c r="H23" s="436"/>
      <c r="I23" s="436"/>
      <c r="J23" s="436"/>
      <c r="K23" s="436"/>
      <c r="L23" s="436"/>
      <c r="M23" s="436"/>
      <c r="N23" s="437"/>
      <c r="O23" s="42"/>
      <c r="P23" s="42"/>
      <c r="Q23" s="42"/>
      <c r="R23" s="42"/>
      <c r="S23" s="42"/>
      <c r="T23" s="42"/>
      <c r="V23" s="42"/>
      <c r="W23" s="42"/>
      <c r="Y23" s="42"/>
      <c r="Z23" s="42"/>
    </row>
    <row r="24" spans="1:26" x14ac:dyDescent="0.2">
      <c r="A24" s="42"/>
      <c r="B24" s="75">
        <v>2</v>
      </c>
      <c r="C24" s="378" t="s">
        <v>29</v>
      </c>
      <c r="D24" s="379"/>
      <c r="E24" s="446"/>
      <c r="F24" s="412">
        <v>2723.41</v>
      </c>
      <c r="G24" s="413"/>
      <c r="H24" s="413"/>
      <c r="I24" s="413"/>
      <c r="J24" s="413"/>
      <c r="K24" s="413"/>
      <c r="L24" s="413"/>
      <c r="M24" s="413"/>
      <c r="N24" s="414"/>
      <c r="O24" s="42"/>
      <c r="P24" s="42"/>
      <c r="Q24" s="42"/>
      <c r="R24" s="42"/>
      <c r="S24" s="42"/>
      <c r="T24" s="42"/>
      <c r="V24" s="42"/>
      <c r="W24" s="42"/>
      <c r="Y24" s="42"/>
      <c r="Z24" s="42"/>
    </row>
    <row r="25" spans="1:26" x14ac:dyDescent="0.2">
      <c r="A25" s="42"/>
      <c r="B25" s="75">
        <v>3</v>
      </c>
      <c r="C25" s="378" t="s">
        <v>30</v>
      </c>
      <c r="D25" s="379"/>
      <c r="E25" s="446"/>
      <c r="F25" s="409"/>
      <c r="G25" s="410"/>
      <c r="H25" s="410"/>
      <c r="I25" s="410"/>
      <c r="J25" s="410"/>
      <c r="K25" s="410"/>
      <c r="L25" s="410"/>
      <c r="M25" s="410"/>
      <c r="N25" s="415"/>
      <c r="O25" s="42"/>
      <c r="P25" s="42"/>
      <c r="Q25" s="42"/>
      <c r="R25" s="42"/>
      <c r="S25" s="42"/>
      <c r="T25" s="42"/>
      <c r="V25" s="42"/>
      <c r="W25" s="42"/>
      <c r="Y25" s="42"/>
      <c r="Z25" s="42"/>
    </row>
    <row r="26" spans="1:26" ht="13.5" thickBot="1" x14ac:dyDescent="0.25">
      <c r="A26" s="42"/>
      <c r="B26" s="76">
        <v>4</v>
      </c>
      <c r="C26" s="383" t="s">
        <v>9</v>
      </c>
      <c r="D26" s="384"/>
      <c r="E26" s="451"/>
      <c r="F26" s="419" t="s">
        <v>293</v>
      </c>
      <c r="G26" s="420"/>
      <c r="H26" s="420"/>
      <c r="I26" s="420"/>
      <c r="J26" s="420"/>
      <c r="K26" s="420"/>
      <c r="L26" s="420"/>
      <c r="M26" s="420"/>
      <c r="N26" s="421"/>
      <c r="O26" s="42"/>
      <c r="P26" s="42"/>
      <c r="Q26" s="42"/>
      <c r="R26" s="42"/>
      <c r="S26" s="42"/>
      <c r="T26" s="42"/>
      <c r="V26" s="42"/>
      <c r="W26" s="42"/>
      <c r="Y26" s="42"/>
      <c r="Z26" s="42"/>
    </row>
    <row r="27" spans="1:26" ht="13.5" thickBot="1" x14ac:dyDescent="0.25">
      <c r="A27" s="42"/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V27" s="42"/>
      <c r="W27" s="42"/>
      <c r="Y27" s="42"/>
      <c r="Z27" s="42"/>
    </row>
    <row r="28" spans="1:26" ht="15.75" thickBot="1" x14ac:dyDescent="0.3">
      <c r="A28" s="42"/>
      <c r="B28" s="369" t="s">
        <v>82</v>
      </c>
      <c r="C28" s="370"/>
      <c r="D28" s="370"/>
      <c r="E28" s="370"/>
      <c r="F28" s="370"/>
      <c r="G28" s="370"/>
      <c r="H28" s="370"/>
      <c r="I28" s="370"/>
      <c r="J28" s="370"/>
      <c r="K28" s="370"/>
      <c r="L28" s="370"/>
      <c r="M28" s="370"/>
      <c r="N28" s="371"/>
      <c r="O28" s="42"/>
      <c r="P28" s="42"/>
      <c r="Q28" s="42"/>
      <c r="R28" s="42"/>
      <c r="S28" s="42"/>
      <c r="T28" s="42"/>
      <c r="V28" s="42"/>
      <c r="W28" s="42"/>
      <c r="Y28" s="42"/>
      <c r="Z28" s="42"/>
    </row>
    <row r="29" spans="1:26" ht="28.5" customHeight="1" thickBot="1" x14ac:dyDescent="0.3">
      <c r="A29" s="42"/>
      <c r="B29" s="65">
        <v>1</v>
      </c>
      <c r="C29" s="441" t="s">
        <v>57</v>
      </c>
      <c r="D29" s="442"/>
      <c r="E29" s="86"/>
      <c r="F29" s="66" t="s">
        <v>245</v>
      </c>
      <c r="G29" s="86"/>
      <c r="H29" s="202" t="s">
        <v>243</v>
      </c>
      <c r="I29" s="86"/>
      <c r="J29" s="202" t="s">
        <v>242</v>
      </c>
      <c r="K29" s="86"/>
      <c r="L29" s="202" t="s">
        <v>270</v>
      </c>
      <c r="M29" s="86"/>
      <c r="N29" s="202" t="s">
        <v>292</v>
      </c>
      <c r="O29" s="42"/>
      <c r="P29" s="86"/>
      <c r="Q29" s="202" t="s">
        <v>282</v>
      </c>
      <c r="R29" s="42"/>
      <c r="S29" s="86"/>
      <c r="T29" s="122" t="s">
        <v>272</v>
      </c>
      <c r="U29" s="199"/>
      <c r="V29" s="203"/>
      <c r="W29" s="293" t="s">
        <v>249</v>
      </c>
      <c r="Y29" s="86"/>
      <c r="Z29" s="202" t="s">
        <v>275</v>
      </c>
    </row>
    <row r="30" spans="1:26" x14ac:dyDescent="0.2">
      <c r="A30" s="42"/>
      <c r="B30" s="74" t="s">
        <v>1</v>
      </c>
      <c r="C30" s="443" t="s">
        <v>31</v>
      </c>
      <c r="D30" s="444"/>
      <c r="E30" s="77"/>
      <c r="F30" s="78">
        <v>2192.65</v>
      </c>
      <c r="G30" s="32"/>
      <c r="H30" s="33">
        <v>2258.4299999999998</v>
      </c>
      <c r="I30" s="32"/>
      <c r="J30" s="33">
        <v>2450.39</v>
      </c>
      <c r="K30" s="32"/>
      <c r="L30" s="33">
        <v>2593.73</v>
      </c>
      <c r="M30" s="32"/>
      <c r="N30" s="309">
        <f>F24</f>
        <v>2723.41</v>
      </c>
      <c r="O30" s="42"/>
      <c r="P30" s="32"/>
      <c r="Q30" s="33">
        <v>2593.73</v>
      </c>
      <c r="R30" s="42"/>
      <c r="S30" s="32"/>
      <c r="T30" s="33">
        <v>0</v>
      </c>
      <c r="U30" s="199"/>
      <c r="V30" s="205"/>
      <c r="W30" s="206">
        <v>2450.39</v>
      </c>
      <c r="Y30" s="32"/>
      <c r="Z30" s="33">
        <v>2593.73</v>
      </c>
    </row>
    <row r="31" spans="1:26" x14ac:dyDescent="0.2">
      <c r="A31" s="42"/>
      <c r="B31" s="75" t="s">
        <v>2</v>
      </c>
      <c r="C31" s="378" t="s">
        <v>73</v>
      </c>
      <c r="D31" s="446"/>
      <c r="E31" s="51">
        <v>0.3</v>
      </c>
      <c r="F31" s="35">
        <f>F30*E31</f>
        <v>657.79499999999996</v>
      </c>
      <c r="G31" s="34">
        <v>0.3</v>
      </c>
      <c r="H31" s="35">
        <f>H30*G31</f>
        <v>677.52899999999988</v>
      </c>
      <c r="I31" s="36">
        <v>0.3</v>
      </c>
      <c r="J31" s="37">
        <f>J30*I31</f>
        <v>735.11699999999996</v>
      </c>
      <c r="K31" s="36">
        <v>0.3</v>
      </c>
      <c r="L31" s="37">
        <f>L30*K31</f>
        <v>778.11900000000003</v>
      </c>
      <c r="M31" s="36">
        <v>0.3</v>
      </c>
      <c r="N31" s="37">
        <f>N30*M31</f>
        <v>817.02299999999991</v>
      </c>
      <c r="O31" s="42"/>
      <c r="P31" s="36">
        <v>0.3</v>
      </c>
      <c r="Q31" s="37">
        <f>Q30*P31</f>
        <v>778.11900000000003</v>
      </c>
      <c r="R31" s="42"/>
      <c r="S31" s="36">
        <v>0.3</v>
      </c>
      <c r="T31" s="37">
        <f>T30*S31</f>
        <v>0</v>
      </c>
      <c r="U31" s="199"/>
      <c r="V31" s="207">
        <v>0.3</v>
      </c>
      <c r="W31" s="208">
        <f>W30*V31</f>
        <v>735.11699999999996</v>
      </c>
      <c r="Y31" s="36">
        <v>0.3</v>
      </c>
      <c r="Z31" s="37">
        <f>Z30*Y31</f>
        <v>778.11900000000003</v>
      </c>
    </row>
    <row r="32" spans="1:26" x14ac:dyDescent="0.2">
      <c r="A32" s="42"/>
      <c r="B32" s="75" t="s">
        <v>4</v>
      </c>
      <c r="C32" s="378" t="s">
        <v>74</v>
      </c>
      <c r="D32" s="446"/>
      <c r="E32" s="51"/>
      <c r="F32" s="35"/>
      <c r="G32" s="34"/>
      <c r="H32" s="35"/>
      <c r="I32" s="36"/>
      <c r="J32" s="38"/>
      <c r="K32" s="36"/>
      <c r="L32" s="38"/>
      <c r="M32" s="36"/>
      <c r="N32" s="38"/>
      <c r="O32" s="42"/>
      <c r="P32" s="36"/>
      <c r="Q32" s="38"/>
      <c r="R32" s="42"/>
      <c r="S32" s="36"/>
      <c r="T32" s="38"/>
      <c r="U32" s="199"/>
      <c r="V32" s="207"/>
      <c r="W32" s="209"/>
      <c r="Y32" s="36"/>
      <c r="Z32" s="38"/>
    </row>
    <row r="33" spans="1:26" x14ac:dyDescent="0.2">
      <c r="A33" s="42"/>
      <c r="B33" s="75" t="s">
        <v>5</v>
      </c>
      <c r="C33" s="378" t="s">
        <v>10</v>
      </c>
      <c r="D33" s="446"/>
      <c r="E33" s="141"/>
      <c r="F33" s="35"/>
      <c r="G33" s="39"/>
      <c r="H33" s="37"/>
      <c r="I33" s="39"/>
      <c r="J33" s="38"/>
      <c r="K33" s="39"/>
      <c r="L33" s="38"/>
      <c r="M33" s="39"/>
      <c r="N33" s="38"/>
      <c r="O33" s="42"/>
      <c r="P33" s="39"/>
      <c r="Q33" s="38"/>
      <c r="R33" s="42"/>
      <c r="S33" s="39"/>
      <c r="T33" s="38"/>
      <c r="U33" s="199"/>
      <c r="V33" s="210"/>
      <c r="W33" s="209"/>
      <c r="Y33" s="188"/>
      <c r="Z33" s="37"/>
    </row>
    <row r="34" spans="1:26" x14ac:dyDescent="0.2">
      <c r="A34" s="42"/>
      <c r="B34" s="75" t="s">
        <v>6</v>
      </c>
      <c r="C34" s="378" t="s">
        <v>80</v>
      </c>
      <c r="D34" s="446"/>
      <c r="E34" s="141"/>
      <c r="F34" s="35"/>
      <c r="G34" s="39"/>
      <c r="H34" s="37"/>
      <c r="I34" s="39"/>
      <c r="J34" s="38"/>
      <c r="K34" s="39"/>
      <c r="L34" s="38"/>
      <c r="M34" s="39"/>
      <c r="N34" s="38"/>
      <c r="O34" s="42"/>
      <c r="P34" s="39"/>
      <c r="Q34" s="38"/>
      <c r="R34" s="42"/>
      <c r="S34" s="39"/>
      <c r="T34" s="38"/>
      <c r="U34" s="199"/>
      <c r="V34" s="210"/>
      <c r="W34" s="209"/>
      <c r="Y34" s="188"/>
      <c r="Z34" s="37"/>
    </row>
    <row r="35" spans="1:26" x14ac:dyDescent="0.2">
      <c r="A35" s="42"/>
      <c r="B35" s="75" t="s">
        <v>7</v>
      </c>
      <c r="C35" s="378" t="s">
        <v>81</v>
      </c>
      <c r="D35" s="446"/>
      <c r="E35" s="35"/>
      <c r="F35" s="35"/>
      <c r="G35" s="37"/>
      <c r="H35" s="37"/>
      <c r="I35" s="39"/>
      <c r="J35" s="38"/>
      <c r="K35" s="39"/>
      <c r="L35" s="38"/>
      <c r="M35" s="39"/>
      <c r="N35" s="38"/>
      <c r="O35" s="42"/>
      <c r="P35" s="39"/>
      <c r="Q35" s="38"/>
      <c r="R35" s="42"/>
      <c r="S35" s="39"/>
      <c r="T35" s="38"/>
      <c r="U35" s="199"/>
      <c r="V35" s="210"/>
      <c r="W35" s="209"/>
      <c r="Y35" s="39"/>
      <c r="Z35" s="38"/>
    </row>
    <row r="36" spans="1:26" ht="13.5" thickBot="1" x14ac:dyDescent="0.25">
      <c r="A36" s="42"/>
      <c r="B36" s="76" t="s">
        <v>12</v>
      </c>
      <c r="C36" s="383" t="s">
        <v>11</v>
      </c>
      <c r="D36" s="451"/>
      <c r="E36" s="40"/>
      <c r="F36" s="40"/>
      <c r="G36" s="40"/>
      <c r="H36" s="40"/>
      <c r="I36" s="40"/>
      <c r="J36" s="45"/>
      <c r="K36" s="40"/>
      <c r="L36" s="45"/>
      <c r="M36" s="40"/>
      <c r="N36" s="45"/>
      <c r="O36" s="42"/>
      <c r="P36" s="40"/>
      <c r="Q36" s="45"/>
      <c r="R36" s="42"/>
      <c r="S36" s="40"/>
      <c r="T36" s="45"/>
      <c r="U36" s="199"/>
      <c r="V36" s="211"/>
      <c r="W36" s="212"/>
      <c r="Y36" s="40"/>
      <c r="Z36" s="45"/>
    </row>
    <row r="37" spans="1:26" ht="15.75" thickBot="1" x14ac:dyDescent="0.3">
      <c r="A37" s="42"/>
      <c r="B37" s="41"/>
      <c r="C37" s="438" t="s">
        <v>40</v>
      </c>
      <c r="D37" s="439"/>
      <c r="E37" s="440"/>
      <c r="F37" s="13">
        <f>ROUND(SUM(F30:F36),2)</f>
        <v>2850.45</v>
      </c>
      <c r="G37" s="41"/>
      <c r="H37" s="13">
        <f>ROUND(SUM(H30:H36),2)</f>
        <v>2935.96</v>
      </c>
      <c r="I37" s="41"/>
      <c r="J37" s="5">
        <f>ROUND(SUM(J30:J36),2)</f>
        <v>3185.51</v>
      </c>
      <c r="K37" s="41"/>
      <c r="L37" s="5">
        <f>ROUND(SUM(L30:L36),2)</f>
        <v>3371.85</v>
      </c>
      <c r="M37" s="41"/>
      <c r="N37" s="5">
        <f>ROUND(SUM(N30:N36),2)</f>
        <v>3540.43</v>
      </c>
      <c r="O37" s="42"/>
      <c r="P37" s="41"/>
      <c r="Q37" s="5">
        <f>ROUND(SUM(Q30:Q36),2)</f>
        <v>3371.85</v>
      </c>
      <c r="R37" s="42"/>
      <c r="S37" s="41"/>
      <c r="T37" s="5">
        <f>ROUND(SUM(T30:T36),2)</f>
        <v>0</v>
      </c>
      <c r="U37" s="199"/>
      <c r="V37" s="213"/>
      <c r="W37" s="214">
        <f>ROUND(SUM(W30:W36),2)</f>
        <v>3185.51</v>
      </c>
      <c r="Y37" s="41"/>
      <c r="Z37" s="5">
        <f>ROUND(SUM(Z30:Z36),2)</f>
        <v>3371.85</v>
      </c>
    </row>
    <row r="38" spans="1:26" ht="13.5" thickBot="1" x14ac:dyDescent="0.25">
      <c r="A38" s="42"/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199"/>
      <c r="V38" s="198"/>
      <c r="W38" s="198"/>
      <c r="Y38" s="42"/>
      <c r="Z38" s="42"/>
    </row>
    <row r="39" spans="1:26" ht="15.75" thickBot="1" x14ac:dyDescent="0.3">
      <c r="A39" s="42"/>
      <c r="B39" s="369" t="s">
        <v>83</v>
      </c>
      <c r="C39" s="370"/>
      <c r="D39" s="370"/>
      <c r="E39" s="370"/>
      <c r="F39" s="370"/>
      <c r="G39" s="370"/>
      <c r="H39" s="370"/>
      <c r="I39" s="370"/>
      <c r="J39" s="370"/>
      <c r="K39" s="370"/>
      <c r="L39" s="370"/>
      <c r="M39" s="370"/>
      <c r="N39" s="371"/>
      <c r="O39" s="42"/>
      <c r="P39" s="42"/>
      <c r="Q39" s="42"/>
      <c r="R39" s="42"/>
      <c r="S39" s="42"/>
      <c r="T39" s="42"/>
      <c r="U39" s="199"/>
      <c r="V39" s="198"/>
      <c r="W39" s="198"/>
      <c r="Y39" s="42"/>
      <c r="Z39" s="42"/>
    </row>
    <row r="40" spans="1:26" ht="15.75" thickBot="1" x14ac:dyDescent="0.3">
      <c r="A40" s="42"/>
      <c r="B40" s="369" t="s">
        <v>85</v>
      </c>
      <c r="C40" s="370"/>
      <c r="D40" s="370"/>
      <c r="E40" s="370"/>
      <c r="F40" s="370"/>
      <c r="G40" s="370"/>
      <c r="H40" s="370"/>
      <c r="I40" s="370"/>
      <c r="J40" s="370"/>
      <c r="K40" s="370"/>
      <c r="L40" s="370"/>
      <c r="M40" s="370"/>
      <c r="N40" s="371"/>
      <c r="O40" s="42"/>
      <c r="P40" s="42"/>
      <c r="Q40" s="42"/>
      <c r="R40" s="42"/>
      <c r="S40" s="42"/>
      <c r="T40" s="42"/>
      <c r="U40" s="199"/>
      <c r="V40" s="198"/>
      <c r="W40" s="198"/>
      <c r="Y40" s="42"/>
      <c r="Z40" s="42"/>
    </row>
    <row r="41" spans="1:26" ht="15.75" thickBot="1" x14ac:dyDescent="0.3">
      <c r="A41" s="42"/>
      <c r="B41" s="94" t="s">
        <v>84</v>
      </c>
      <c r="C41" s="441" t="s">
        <v>86</v>
      </c>
      <c r="D41" s="442"/>
      <c r="E41" s="447"/>
      <c r="F41" s="66" t="s">
        <v>77</v>
      </c>
      <c r="G41" s="86"/>
      <c r="H41" s="66" t="s">
        <v>78</v>
      </c>
      <c r="I41" s="86"/>
      <c r="J41" s="66" t="s">
        <v>79</v>
      </c>
      <c r="K41" s="86"/>
      <c r="L41" s="66" t="s">
        <v>79</v>
      </c>
      <c r="M41" s="86"/>
      <c r="N41" s="66" t="s">
        <v>79</v>
      </c>
      <c r="O41" s="42"/>
      <c r="P41" s="86"/>
      <c r="Q41" s="66" t="s">
        <v>79</v>
      </c>
      <c r="R41" s="42"/>
      <c r="S41" s="86"/>
      <c r="T41" s="66" t="s">
        <v>79</v>
      </c>
      <c r="U41" s="199"/>
      <c r="V41" s="203"/>
      <c r="W41" s="215" t="s">
        <v>79</v>
      </c>
      <c r="Y41" s="86"/>
      <c r="Z41" s="66" t="s">
        <v>79</v>
      </c>
    </row>
    <row r="42" spans="1:26" x14ac:dyDescent="0.2">
      <c r="A42" s="42"/>
      <c r="B42" s="70" t="s">
        <v>1</v>
      </c>
      <c r="C42" s="401" t="s">
        <v>87</v>
      </c>
      <c r="D42" s="461"/>
      <c r="E42" s="88">
        <f>ROUND(1/12,4)</f>
        <v>8.3299999999999999E-2</v>
      </c>
      <c r="F42" s="43">
        <f>E42*F37</f>
        <v>237.44248499999998</v>
      </c>
      <c r="G42" s="88">
        <f>ROUND(1/12,4)</f>
        <v>8.3299999999999999E-2</v>
      </c>
      <c r="H42" s="43">
        <f>G42*H37</f>
        <v>244.56546800000001</v>
      </c>
      <c r="I42" s="88">
        <f>ROUND(1/12,4)</f>
        <v>8.3299999999999999E-2</v>
      </c>
      <c r="J42" s="44">
        <f>I42*J37</f>
        <v>265.35298299999999</v>
      </c>
      <c r="K42" s="88">
        <f>ROUND(1/12,4)</f>
        <v>8.3299999999999999E-2</v>
      </c>
      <c r="L42" s="44">
        <f>K42*L37</f>
        <v>280.87510499999996</v>
      </c>
      <c r="M42" s="88">
        <f>ROUND(1/12,4)</f>
        <v>8.3299999999999999E-2</v>
      </c>
      <c r="N42" s="44">
        <f>M42*N37</f>
        <v>294.91781900000001</v>
      </c>
      <c r="O42" s="42"/>
      <c r="P42" s="88">
        <v>0</v>
      </c>
      <c r="Q42" s="44">
        <f>P42*Q37</f>
        <v>0</v>
      </c>
      <c r="R42" s="42"/>
      <c r="S42" s="88">
        <v>0</v>
      </c>
      <c r="T42" s="44">
        <f>S42*T37</f>
        <v>0</v>
      </c>
      <c r="U42" s="199"/>
      <c r="V42" s="216">
        <v>0</v>
      </c>
      <c r="W42" s="217">
        <f>V42*W37</f>
        <v>0</v>
      </c>
      <c r="Y42" s="88">
        <v>0</v>
      </c>
      <c r="Z42" s="44">
        <f>Y42*Z37</f>
        <v>0</v>
      </c>
    </row>
    <row r="43" spans="1:26" ht="13.5" thickBot="1" x14ac:dyDescent="0.25">
      <c r="A43" s="42"/>
      <c r="B43" s="71" t="s">
        <v>2</v>
      </c>
      <c r="C43" s="383" t="s">
        <v>88</v>
      </c>
      <c r="D43" s="451"/>
      <c r="E43" s="89">
        <f>ROUND(1/11+1/11*1/3,3)</f>
        <v>0.121</v>
      </c>
      <c r="F43" s="35">
        <f>E43*F37</f>
        <v>344.90444999999994</v>
      </c>
      <c r="G43" s="89">
        <f>ROUND(1/11+1/11*1/3,3)</f>
        <v>0.121</v>
      </c>
      <c r="H43" s="35">
        <f>G43*H37</f>
        <v>355.25115999999997</v>
      </c>
      <c r="I43" s="89">
        <f>ROUND(1/11+1/11*1/3,3)</f>
        <v>0.121</v>
      </c>
      <c r="J43" s="35">
        <f>I43*J37</f>
        <v>385.44671</v>
      </c>
      <c r="K43" s="89">
        <f>ROUND(1/11+1/11*1/3,3)</f>
        <v>0.121</v>
      </c>
      <c r="L43" s="35">
        <f>K43*L37</f>
        <v>407.99384999999995</v>
      </c>
      <c r="M43" s="89">
        <f>ROUND(1/11+1/11*1/3,3)</f>
        <v>0.121</v>
      </c>
      <c r="N43" s="35">
        <f>M43*N37</f>
        <v>428.39202999999998</v>
      </c>
      <c r="O43" s="42"/>
      <c r="P43" s="89">
        <v>0</v>
      </c>
      <c r="Q43" s="35">
        <f>P43*Q37</f>
        <v>0</v>
      </c>
      <c r="R43" s="42"/>
      <c r="S43" s="89">
        <f>ROUND(1/11+1/11*1/3,3)</f>
        <v>0.121</v>
      </c>
      <c r="T43" s="35">
        <f>N37+N37/3</f>
        <v>4720.5733333333328</v>
      </c>
      <c r="U43" s="199"/>
      <c r="V43" s="218">
        <f>ROUND(1/11+1/11*1/3,3)</f>
        <v>0.121</v>
      </c>
      <c r="W43" s="294">
        <f>V43*W37</f>
        <v>385.44671</v>
      </c>
      <c r="Y43" s="89">
        <v>0</v>
      </c>
      <c r="Z43" s="35">
        <f>Y43*Z37</f>
        <v>0</v>
      </c>
    </row>
    <row r="44" spans="1:26" ht="13.5" customHeight="1" thickBot="1" x14ac:dyDescent="0.25">
      <c r="A44" s="42"/>
      <c r="B44" s="448" t="s">
        <v>16</v>
      </c>
      <c r="C44" s="449"/>
      <c r="D44" s="450"/>
      <c r="E44" s="90">
        <f>E42+E43</f>
        <v>0.20429999999999998</v>
      </c>
      <c r="F44" s="11">
        <f>SUM(F42:F43)</f>
        <v>582.34693499999992</v>
      </c>
      <c r="G44" s="90">
        <f>G42+G43</f>
        <v>0.20429999999999998</v>
      </c>
      <c r="H44" s="11">
        <f>SUM(H42:H43)</f>
        <v>599.81662800000004</v>
      </c>
      <c r="I44" s="90">
        <f>I42+I43</f>
        <v>0.20429999999999998</v>
      </c>
      <c r="J44" s="11">
        <f>SUM(J42:J43)</f>
        <v>650.79969299999993</v>
      </c>
      <c r="K44" s="90">
        <f>K42+K43</f>
        <v>0.20429999999999998</v>
      </c>
      <c r="L44" s="11">
        <f>SUM(L42:L43)</f>
        <v>688.86895499999991</v>
      </c>
      <c r="M44" s="90">
        <f>M42+M43</f>
        <v>0.20429999999999998</v>
      </c>
      <c r="N44" s="11">
        <f>SUM(N42:N43)</f>
        <v>723.30984899999999</v>
      </c>
      <c r="O44" s="42"/>
      <c r="P44" s="90">
        <f>P42+P43</f>
        <v>0</v>
      </c>
      <c r="Q44" s="11">
        <f>SUM(Q42:Q43)</f>
        <v>0</v>
      </c>
      <c r="R44" s="42"/>
      <c r="S44" s="90">
        <f>S42+S43</f>
        <v>0.121</v>
      </c>
      <c r="T44" s="11">
        <f>SUM(T42:T43)</f>
        <v>4720.5733333333328</v>
      </c>
      <c r="U44" s="199"/>
      <c r="V44" s="220">
        <f>V42+V43</f>
        <v>0.121</v>
      </c>
      <c r="W44" s="221">
        <f>SUM(W42:W43)</f>
        <v>385.44671</v>
      </c>
      <c r="Y44" s="90">
        <f>Y42+Y43</f>
        <v>0</v>
      </c>
      <c r="Z44" s="11">
        <f>SUM(Z42:Z43)</f>
        <v>0</v>
      </c>
    </row>
    <row r="45" spans="1:26" ht="13.5" thickBot="1" x14ac:dyDescent="0.25">
      <c r="A45" s="42"/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199"/>
      <c r="V45" s="198"/>
      <c r="W45" s="198"/>
      <c r="Y45" s="42"/>
      <c r="Z45" s="42"/>
    </row>
    <row r="46" spans="1:26" ht="15.75" thickBot="1" x14ac:dyDescent="0.3">
      <c r="A46" s="42"/>
      <c r="B46" s="369" t="s">
        <v>89</v>
      </c>
      <c r="C46" s="370"/>
      <c r="D46" s="370"/>
      <c r="E46" s="370"/>
      <c r="F46" s="370"/>
      <c r="G46" s="370"/>
      <c r="H46" s="370"/>
      <c r="I46" s="370"/>
      <c r="J46" s="370"/>
      <c r="K46" s="370"/>
      <c r="L46" s="370"/>
      <c r="M46" s="370"/>
      <c r="N46" s="371"/>
      <c r="O46" s="42"/>
      <c r="P46" s="42"/>
      <c r="Q46" s="42"/>
      <c r="R46" s="42"/>
      <c r="S46" s="42"/>
      <c r="T46" s="42"/>
      <c r="U46" s="199"/>
      <c r="V46" s="198"/>
      <c r="W46" s="198"/>
      <c r="Y46" s="42"/>
      <c r="Z46" s="42"/>
    </row>
    <row r="47" spans="1:26" ht="15.75" thickBot="1" x14ac:dyDescent="0.3">
      <c r="A47" s="42"/>
      <c r="B47" s="65" t="s">
        <v>90</v>
      </c>
      <c r="C47" s="369" t="s">
        <v>91</v>
      </c>
      <c r="D47" s="371"/>
      <c r="E47" s="7"/>
      <c r="F47" s="66" t="s">
        <v>77</v>
      </c>
      <c r="G47" s="86"/>
      <c r="H47" s="66" t="s">
        <v>78</v>
      </c>
      <c r="I47" s="86"/>
      <c r="J47" s="66" t="s">
        <v>79</v>
      </c>
      <c r="K47" s="86"/>
      <c r="L47" s="66" t="s">
        <v>79</v>
      </c>
      <c r="M47" s="86"/>
      <c r="N47" s="66" t="s">
        <v>79</v>
      </c>
      <c r="O47" s="42"/>
      <c r="P47" s="86"/>
      <c r="Q47" s="66" t="s">
        <v>79</v>
      </c>
      <c r="R47" s="42"/>
      <c r="S47" s="86"/>
      <c r="T47" s="66" t="s">
        <v>79</v>
      </c>
      <c r="U47" s="199"/>
      <c r="V47" s="203"/>
      <c r="W47" s="215" t="s">
        <v>79</v>
      </c>
      <c r="Y47" s="86"/>
      <c r="Z47" s="66" t="s">
        <v>79</v>
      </c>
    </row>
    <row r="48" spans="1:26" x14ac:dyDescent="0.2">
      <c r="A48" s="42"/>
      <c r="B48" s="70" t="s">
        <v>1</v>
      </c>
      <c r="C48" s="401" t="s">
        <v>41</v>
      </c>
      <c r="D48" s="461"/>
      <c r="E48" s="49">
        <v>0.2</v>
      </c>
      <c r="F48" s="61">
        <f>E48*($F$37+$F$44)</f>
        <v>686.55938700000002</v>
      </c>
      <c r="G48" s="49">
        <v>0.2</v>
      </c>
      <c r="H48" s="46">
        <f>G48*($H$37+$H$44)</f>
        <v>707.15532560000008</v>
      </c>
      <c r="I48" s="49">
        <v>0.2</v>
      </c>
      <c r="J48" s="46">
        <f>I48*(J37+J44)</f>
        <v>767.26193860000012</v>
      </c>
      <c r="K48" s="49">
        <v>0.2</v>
      </c>
      <c r="L48" s="46">
        <f>K48*(L37+L44)</f>
        <v>812.14379099999996</v>
      </c>
      <c r="M48" s="49">
        <v>0.2</v>
      </c>
      <c r="N48" s="46">
        <f>M48*(N37+N44)</f>
        <v>852.74796979999996</v>
      </c>
      <c r="O48" s="42"/>
      <c r="P48" s="49">
        <v>0.2</v>
      </c>
      <c r="Q48" s="46">
        <f>P48*(Q37+Q44)</f>
        <v>674.37</v>
      </c>
      <c r="R48" s="42"/>
      <c r="S48" s="49">
        <v>0.2</v>
      </c>
      <c r="T48" s="46">
        <f>S48*(T37+T44)</f>
        <v>944.11466666666661</v>
      </c>
      <c r="U48" s="199"/>
      <c r="V48" s="222">
        <v>0.2</v>
      </c>
      <c r="W48" s="223">
        <v>0</v>
      </c>
      <c r="Y48" s="49">
        <v>0.2</v>
      </c>
      <c r="Z48" s="46">
        <f>Y48*(Z37+Z44)</f>
        <v>674.37</v>
      </c>
    </row>
    <row r="49" spans="1:26" x14ac:dyDescent="0.2">
      <c r="A49" s="42"/>
      <c r="B49" s="71" t="s">
        <v>2</v>
      </c>
      <c r="C49" s="378" t="s">
        <v>92</v>
      </c>
      <c r="D49" s="446"/>
      <c r="E49" s="51">
        <v>2.5000000000000001E-2</v>
      </c>
      <c r="F49" s="54">
        <f t="shared" ref="F49:F55" si="0">E49*($F$37+$F$44)</f>
        <v>85.819923375000002</v>
      </c>
      <c r="G49" s="51">
        <v>2.5000000000000001E-2</v>
      </c>
      <c r="H49" s="55">
        <f t="shared" ref="H49:H55" si="1">G49*($H$37+$H$44)</f>
        <v>88.39441570000001</v>
      </c>
      <c r="I49" s="51">
        <v>2.5000000000000001E-2</v>
      </c>
      <c r="J49" s="59">
        <f>I49*(J37+J44)</f>
        <v>95.907742325000015</v>
      </c>
      <c r="K49" s="51">
        <v>2.5000000000000001E-2</v>
      </c>
      <c r="L49" s="59">
        <f>K49*(L37+L44)</f>
        <v>101.517973875</v>
      </c>
      <c r="M49" s="51">
        <v>2.5000000000000001E-2</v>
      </c>
      <c r="N49" s="59">
        <f>M49*(N37+N44)</f>
        <v>106.593496225</v>
      </c>
      <c r="O49" s="42"/>
      <c r="P49" s="51">
        <v>2.5000000000000001E-2</v>
      </c>
      <c r="Q49" s="59">
        <f>P49*(Q37+Q44)</f>
        <v>84.296250000000001</v>
      </c>
      <c r="R49" s="42"/>
      <c r="S49" s="51">
        <v>2.5000000000000001E-2</v>
      </c>
      <c r="T49" s="81">
        <f>S49*(T37+T44)</f>
        <v>118.01433333333333</v>
      </c>
      <c r="U49" s="199"/>
      <c r="V49" s="224">
        <v>2.5000000000000001E-2</v>
      </c>
      <c r="W49" s="225">
        <v>0</v>
      </c>
      <c r="Y49" s="51">
        <v>2.5000000000000001E-2</v>
      </c>
      <c r="Z49" s="59">
        <f>Y49*(Z37+Z44)</f>
        <v>84.296250000000001</v>
      </c>
    </row>
    <row r="50" spans="1:26" x14ac:dyDescent="0.2">
      <c r="A50" s="42"/>
      <c r="B50" s="71" t="s">
        <v>4</v>
      </c>
      <c r="C50" s="378" t="s">
        <v>93</v>
      </c>
      <c r="D50" s="446"/>
      <c r="E50" s="51">
        <f>3%*0.5</f>
        <v>1.4999999999999999E-2</v>
      </c>
      <c r="F50" s="54">
        <f t="shared" si="0"/>
        <v>51.491954024999998</v>
      </c>
      <c r="G50" s="51">
        <f>3%*0.5</f>
        <v>1.4999999999999999E-2</v>
      </c>
      <c r="H50" s="81">
        <f t="shared" si="1"/>
        <v>53.036649419999996</v>
      </c>
      <c r="I50" s="51">
        <f>3%*0.5</f>
        <v>1.4999999999999999E-2</v>
      </c>
      <c r="J50" s="59">
        <f>I50*(J37+J44)</f>
        <v>57.544645395000003</v>
      </c>
      <c r="K50" s="51">
        <f>3%*0.5</f>
        <v>1.4999999999999999E-2</v>
      </c>
      <c r="L50" s="59">
        <f>K50*(L37+L44)</f>
        <v>60.910784324999995</v>
      </c>
      <c r="M50" s="51">
        <f>3%*0.5</f>
        <v>1.4999999999999999E-2</v>
      </c>
      <c r="N50" s="59">
        <f>M50*(N37+N44)</f>
        <v>63.956097734999993</v>
      </c>
      <c r="O50" s="42"/>
      <c r="P50" s="51">
        <f>3%*0.5</f>
        <v>1.4999999999999999E-2</v>
      </c>
      <c r="Q50" s="59">
        <f>P50*(Q37+Q44)</f>
        <v>50.577749999999995</v>
      </c>
      <c r="R50" s="42"/>
      <c r="S50" s="51">
        <f>3%*0.5</f>
        <v>1.4999999999999999E-2</v>
      </c>
      <c r="T50" s="54">
        <f>S50*(T37+T44)</f>
        <v>70.808599999999984</v>
      </c>
      <c r="U50" s="199"/>
      <c r="V50" s="224">
        <f>3%*0.5</f>
        <v>1.4999999999999999E-2</v>
      </c>
      <c r="W50" s="226">
        <v>0</v>
      </c>
      <c r="Y50" s="51">
        <f>3%*0.5</f>
        <v>1.4999999999999999E-2</v>
      </c>
      <c r="Z50" s="59">
        <f>Y50*(Z37+Z44)</f>
        <v>50.577749999999995</v>
      </c>
    </row>
    <row r="51" spans="1:26" x14ac:dyDescent="0.2">
      <c r="A51" s="42"/>
      <c r="B51" s="71" t="s">
        <v>5</v>
      </c>
      <c r="C51" s="378" t="s">
        <v>94</v>
      </c>
      <c r="D51" s="446"/>
      <c r="E51" s="51">
        <v>1.4999999999999999E-2</v>
      </c>
      <c r="F51" s="54">
        <f t="shared" si="0"/>
        <v>51.491954024999998</v>
      </c>
      <c r="G51" s="51">
        <v>1.4999999999999999E-2</v>
      </c>
      <c r="H51" s="52">
        <f t="shared" si="1"/>
        <v>53.036649419999996</v>
      </c>
      <c r="I51" s="51">
        <v>1.4999999999999999E-2</v>
      </c>
      <c r="J51" s="82">
        <f>I51*(J37+J44)</f>
        <v>57.544645395000003</v>
      </c>
      <c r="K51" s="51">
        <v>1.4999999999999999E-2</v>
      </c>
      <c r="L51" s="82">
        <f>K51*(L37+L44)</f>
        <v>60.910784324999995</v>
      </c>
      <c r="M51" s="51">
        <v>1.4999999999999999E-2</v>
      </c>
      <c r="N51" s="82">
        <f>M51*(N37+N44)</f>
        <v>63.956097734999993</v>
      </c>
      <c r="O51" s="42"/>
      <c r="P51" s="51">
        <v>1.4999999999999999E-2</v>
      </c>
      <c r="Q51" s="82">
        <f>P51*(Q37+Q44)</f>
        <v>50.577749999999995</v>
      </c>
      <c r="R51" s="42"/>
      <c r="S51" s="51">
        <v>1.4999999999999999E-2</v>
      </c>
      <c r="T51" s="52">
        <f>S51*(T37+T44)</f>
        <v>70.808599999999984</v>
      </c>
      <c r="U51" s="199"/>
      <c r="V51" s="224">
        <v>1.4999999999999999E-2</v>
      </c>
      <c r="W51" s="227">
        <v>0</v>
      </c>
      <c r="Y51" s="51">
        <v>1.4999999999999999E-2</v>
      </c>
      <c r="Z51" s="82">
        <f>Y51*(Z37+Z44)</f>
        <v>50.577749999999995</v>
      </c>
    </row>
    <row r="52" spans="1:26" x14ac:dyDescent="0.2">
      <c r="A52" s="42"/>
      <c r="B52" s="71" t="s">
        <v>6</v>
      </c>
      <c r="C52" s="378" t="s">
        <v>95</v>
      </c>
      <c r="D52" s="446"/>
      <c r="E52" s="51">
        <v>0.01</v>
      </c>
      <c r="F52" s="52">
        <f t="shared" si="0"/>
        <v>34.327969349999996</v>
      </c>
      <c r="G52" s="51">
        <v>0.01</v>
      </c>
      <c r="H52" s="55">
        <f t="shared" si="1"/>
        <v>35.35776628</v>
      </c>
      <c r="I52" s="51">
        <v>0.01</v>
      </c>
      <c r="J52" s="62">
        <f>I52*(J37+J44)</f>
        <v>38.363096930000005</v>
      </c>
      <c r="K52" s="51">
        <v>0.01</v>
      </c>
      <c r="L52" s="62">
        <f>K52*(L37+L44)</f>
        <v>40.607189550000001</v>
      </c>
      <c r="M52" s="51">
        <v>0.01</v>
      </c>
      <c r="N52" s="62">
        <f>M52*(N37+N44)</f>
        <v>42.637398489999995</v>
      </c>
      <c r="O52" s="42"/>
      <c r="P52" s="51">
        <v>0.01</v>
      </c>
      <c r="Q52" s="62">
        <f>P52*(Q37+Q44)</f>
        <v>33.718499999999999</v>
      </c>
      <c r="R52" s="42"/>
      <c r="S52" s="51">
        <v>0.01</v>
      </c>
      <c r="T52" s="52">
        <f>S52*(T37+T44)</f>
        <v>47.205733333333328</v>
      </c>
      <c r="U52" s="199"/>
      <c r="V52" s="224">
        <v>0.01</v>
      </c>
      <c r="W52" s="227">
        <v>0</v>
      </c>
      <c r="Y52" s="51">
        <v>0.01</v>
      </c>
      <c r="Z52" s="62">
        <f>Y52*(Z37+Z44)</f>
        <v>33.718499999999999</v>
      </c>
    </row>
    <row r="53" spans="1:26" x14ac:dyDescent="0.2">
      <c r="A53" s="42"/>
      <c r="B53" s="80" t="s">
        <v>7</v>
      </c>
      <c r="C53" s="378" t="s">
        <v>44</v>
      </c>
      <c r="D53" s="446"/>
      <c r="E53" s="53">
        <v>6.0000000000000001E-3</v>
      </c>
      <c r="F53" s="82">
        <f t="shared" si="0"/>
        <v>20.596781610000001</v>
      </c>
      <c r="G53" s="53">
        <v>6.0000000000000001E-3</v>
      </c>
      <c r="H53" s="81">
        <f t="shared" si="1"/>
        <v>21.214659768000001</v>
      </c>
      <c r="I53" s="53">
        <v>6.0000000000000001E-3</v>
      </c>
      <c r="J53" s="59">
        <f>I53*(J37+J44)</f>
        <v>23.017858158000003</v>
      </c>
      <c r="K53" s="53">
        <v>6.0000000000000001E-3</v>
      </c>
      <c r="L53" s="59">
        <f>K53*(L37+L44)</f>
        <v>24.364313729999999</v>
      </c>
      <c r="M53" s="53">
        <v>6.0000000000000001E-3</v>
      </c>
      <c r="N53" s="59">
        <f>M53*(N37+N44)</f>
        <v>25.582439093999998</v>
      </c>
      <c r="O53" s="42"/>
      <c r="P53" s="53">
        <v>6.0000000000000001E-3</v>
      </c>
      <c r="Q53" s="59">
        <f>P53*(Q37+Q44)</f>
        <v>20.231100000000001</v>
      </c>
      <c r="R53" s="42"/>
      <c r="S53" s="53">
        <v>6.0000000000000001E-3</v>
      </c>
      <c r="T53" s="52">
        <f>S53*(T37+T44)</f>
        <v>28.323439999999998</v>
      </c>
      <c r="U53" s="199"/>
      <c r="V53" s="228">
        <v>6.0000000000000001E-3</v>
      </c>
      <c r="W53" s="227">
        <v>0</v>
      </c>
      <c r="Y53" s="53">
        <v>6.0000000000000001E-3</v>
      </c>
      <c r="Z53" s="59">
        <f>Y53*(Z37+Z44)</f>
        <v>20.231100000000001</v>
      </c>
    </row>
    <row r="54" spans="1:26" x14ac:dyDescent="0.2">
      <c r="A54" s="42"/>
      <c r="B54" s="80" t="s">
        <v>8</v>
      </c>
      <c r="C54" s="378" t="s">
        <v>42</v>
      </c>
      <c r="D54" s="446"/>
      <c r="E54" s="53">
        <v>2E-3</v>
      </c>
      <c r="F54" s="52">
        <f t="shared" si="0"/>
        <v>6.8655938699999997</v>
      </c>
      <c r="G54" s="53">
        <v>2E-3</v>
      </c>
      <c r="H54" s="52">
        <f t="shared" si="1"/>
        <v>7.0715532560000005</v>
      </c>
      <c r="I54" s="53">
        <v>2E-3</v>
      </c>
      <c r="J54" s="59">
        <f>I54*(J37+J44)</f>
        <v>7.672619386</v>
      </c>
      <c r="K54" s="53">
        <v>2E-3</v>
      </c>
      <c r="L54" s="59">
        <f>K54*(L37+L44)</f>
        <v>8.1214379099999991</v>
      </c>
      <c r="M54" s="53">
        <v>2E-3</v>
      </c>
      <c r="N54" s="59">
        <f>M54*(N37+N44)</f>
        <v>8.5274796979999987</v>
      </c>
      <c r="O54" s="42"/>
      <c r="P54" s="53">
        <v>2E-3</v>
      </c>
      <c r="Q54" s="59">
        <f>P54*(Q37+Q44)</f>
        <v>6.7436999999999996</v>
      </c>
      <c r="R54" s="42"/>
      <c r="S54" s="53">
        <v>2E-3</v>
      </c>
      <c r="T54" s="52">
        <f>S54*(T37+T44)</f>
        <v>9.4411466666666666</v>
      </c>
      <c r="U54" s="199"/>
      <c r="V54" s="228">
        <v>2E-3</v>
      </c>
      <c r="W54" s="227">
        <v>0</v>
      </c>
      <c r="Y54" s="53">
        <v>2E-3</v>
      </c>
      <c r="Z54" s="59">
        <f>Y54*(Z37+Z44)</f>
        <v>6.7436999999999996</v>
      </c>
    </row>
    <row r="55" spans="1:26" ht="13.5" thickBot="1" x14ac:dyDescent="0.25">
      <c r="A55" s="42"/>
      <c r="B55" s="80" t="s">
        <v>12</v>
      </c>
      <c r="C55" s="383" t="s">
        <v>43</v>
      </c>
      <c r="D55" s="451"/>
      <c r="E55" s="53">
        <v>0.08</v>
      </c>
      <c r="F55" s="59">
        <f t="shared" si="0"/>
        <v>274.62375479999997</v>
      </c>
      <c r="G55" s="53">
        <v>0.08</v>
      </c>
      <c r="H55" s="55">
        <f t="shared" si="1"/>
        <v>282.86213024</v>
      </c>
      <c r="I55" s="53">
        <v>0.08</v>
      </c>
      <c r="J55" s="59">
        <f>I55*(J37+J44)</f>
        <v>306.90477544000004</v>
      </c>
      <c r="K55" s="53">
        <v>0.08</v>
      </c>
      <c r="L55" s="59">
        <f>K55*(L37+L44)</f>
        <v>324.85751640000001</v>
      </c>
      <c r="M55" s="53">
        <v>0.08</v>
      </c>
      <c r="N55" s="59">
        <f>M55*(N37+N44)</f>
        <v>341.09918791999996</v>
      </c>
      <c r="O55" s="42"/>
      <c r="P55" s="53">
        <v>0.08</v>
      </c>
      <c r="Q55" s="59">
        <f>P55*(Q37+Q44)</f>
        <v>269.74799999999999</v>
      </c>
      <c r="R55" s="42"/>
      <c r="S55" s="53">
        <v>0.08</v>
      </c>
      <c r="T55" s="59">
        <f>S55*(T37+T44)</f>
        <v>377.64586666666662</v>
      </c>
      <c r="U55" s="199"/>
      <c r="V55" s="228">
        <v>0.08</v>
      </c>
      <c r="W55" s="229">
        <v>0</v>
      </c>
      <c r="Y55" s="53">
        <v>0.08</v>
      </c>
      <c r="Z55" s="59">
        <f>Y55*(Z37+Z44)</f>
        <v>269.74799999999999</v>
      </c>
    </row>
    <row r="56" spans="1:26" ht="13.5" customHeight="1" thickBot="1" x14ac:dyDescent="0.3">
      <c r="A56" s="42"/>
      <c r="B56" s="369" t="s">
        <v>16</v>
      </c>
      <c r="C56" s="370"/>
      <c r="D56" s="371"/>
      <c r="E56" s="90">
        <f t="shared" ref="E56:N56" si="2">SUM(E48:E55)</f>
        <v>0.35300000000000004</v>
      </c>
      <c r="F56" s="5">
        <f t="shared" si="2"/>
        <v>1211.777318055</v>
      </c>
      <c r="G56" s="90">
        <f t="shared" si="2"/>
        <v>0.35300000000000004</v>
      </c>
      <c r="H56" s="5">
        <f t="shared" si="2"/>
        <v>1248.1291496840001</v>
      </c>
      <c r="I56" s="90">
        <f>SUM(I48:I55)</f>
        <v>0.35300000000000004</v>
      </c>
      <c r="J56" s="5">
        <f>SUM(J48:J55)</f>
        <v>1354.2173216290003</v>
      </c>
      <c r="K56" s="90">
        <f t="shared" ref="K56:L56" si="3">SUM(K48:K55)</f>
        <v>0.35300000000000004</v>
      </c>
      <c r="L56" s="5">
        <f t="shared" si="3"/>
        <v>1433.4337911150001</v>
      </c>
      <c r="M56" s="90">
        <f t="shared" si="2"/>
        <v>0.35300000000000004</v>
      </c>
      <c r="N56" s="5">
        <f t="shared" si="2"/>
        <v>1505.1001666969996</v>
      </c>
      <c r="O56" s="42"/>
      <c r="P56" s="90">
        <f>SUM(P48:P55)</f>
        <v>0.35300000000000004</v>
      </c>
      <c r="Q56" s="5">
        <f>SUM(Q48:Q55)</f>
        <v>1190.26305</v>
      </c>
      <c r="R56" s="42"/>
      <c r="S56" s="90">
        <f>SUM(S48:S55)</f>
        <v>0.35300000000000004</v>
      </c>
      <c r="T56" s="5">
        <f>SUM(T48:T55)</f>
        <v>1666.3623866666662</v>
      </c>
      <c r="U56" s="199"/>
      <c r="V56" s="220">
        <f>SUM(V48:V55)</f>
        <v>0.35300000000000004</v>
      </c>
      <c r="W56" s="295">
        <f>V56*W44</f>
        <v>136.06268863000003</v>
      </c>
      <c r="Y56" s="90">
        <f>SUM(Y48:Y55)</f>
        <v>0.35300000000000004</v>
      </c>
      <c r="Z56" s="5">
        <f>SUM(Z48:Z55)</f>
        <v>1190.26305</v>
      </c>
    </row>
    <row r="57" spans="1:26" ht="13.5" thickBot="1" x14ac:dyDescent="0.25">
      <c r="A57" s="42"/>
      <c r="B57" s="42"/>
      <c r="C57" s="42"/>
      <c r="D57" s="42"/>
      <c r="E57" s="42"/>
      <c r="F57" s="83"/>
      <c r="G57" s="42"/>
      <c r="H57" s="79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199"/>
      <c r="V57" s="261"/>
      <c r="W57" s="198"/>
      <c r="Y57" s="42"/>
      <c r="Z57" s="42"/>
    </row>
    <row r="58" spans="1:26" ht="15.75" thickBot="1" x14ac:dyDescent="0.3">
      <c r="A58" s="42"/>
      <c r="B58" s="369" t="s">
        <v>96</v>
      </c>
      <c r="C58" s="370"/>
      <c r="D58" s="370"/>
      <c r="E58" s="370"/>
      <c r="F58" s="370"/>
      <c r="G58" s="370"/>
      <c r="H58" s="370"/>
      <c r="I58" s="370"/>
      <c r="J58" s="370"/>
      <c r="K58" s="370"/>
      <c r="L58" s="370"/>
      <c r="M58" s="370"/>
      <c r="N58" s="371"/>
      <c r="O58" s="42"/>
      <c r="P58" s="42"/>
      <c r="Q58" s="42"/>
      <c r="R58" s="42"/>
      <c r="S58" s="42"/>
      <c r="T58" s="42"/>
      <c r="U58" s="199"/>
      <c r="V58" s="198"/>
      <c r="W58" s="198"/>
      <c r="Y58" s="42"/>
      <c r="Z58" s="42"/>
    </row>
    <row r="59" spans="1:26" ht="15.75" thickBot="1" x14ac:dyDescent="0.3">
      <c r="A59" s="42"/>
      <c r="B59" s="65" t="s">
        <v>97</v>
      </c>
      <c r="C59" s="441" t="s">
        <v>58</v>
      </c>
      <c r="D59" s="447"/>
      <c r="E59" s="91"/>
      <c r="F59" s="66" t="s">
        <v>77</v>
      </c>
      <c r="G59" s="86"/>
      <c r="H59" s="66" t="s">
        <v>78</v>
      </c>
      <c r="I59" s="86"/>
      <c r="J59" s="66" t="s">
        <v>79</v>
      </c>
      <c r="K59" s="86"/>
      <c r="L59" s="66" t="s">
        <v>79</v>
      </c>
      <c r="M59" s="86"/>
      <c r="N59" s="66" t="s">
        <v>79</v>
      </c>
      <c r="O59" s="42"/>
      <c r="P59" s="86"/>
      <c r="Q59" s="66" t="s">
        <v>79</v>
      </c>
      <c r="R59" s="42"/>
      <c r="S59" s="86"/>
      <c r="T59" s="66" t="s">
        <v>79</v>
      </c>
      <c r="U59" s="199"/>
      <c r="V59" s="203"/>
      <c r="W59" s="215" t="s">
        <v>79</v>
      </c>
      <c r="Y59" s="86"/>
      <c r="Z59" s="66" t="s">
        <v>79</v>
      </c>
    </row>
    <row r="60" spans="1:26" x14ac:dyDescent="0.2">
      <c r="A60" s="42"/>
      <c r="B60" s="70" t="s">
        <v>1</v>
      </c>
      <c r="C60" s="401" t="s">
        <v>36</v>
      </c>
      <c r="D60" s="461"/>
      <c r="E60" s="92">
        <v>5.5</v>
      </c>
      <c r="F60" s="50">
        <f>E60*15*2-(6%*F30)</f>
        <v>33.441000000000003</v>
      </c>
      <c r="G60" s="92">
        <v>5.5</v>
      </c>
      <c r="H60" s="50">
        <f>G60*15*2-(6%*H30)</f>
        <v>29.494200000000006</v>
      </c>
      <c r="I60" s="92">
        <v>5.5</v>
      </c>
      <c r="J60" s="46">
        <f>I60*15*2-(6%*J30)</f>
        <v>17.976600000000019</v>
      </c>
      <c r="K60" s="92">
        <v>5.5</v>
      </c>
      <c r="L60" s="46">
        <f>K60*15*2-(6%*L30)</f>
        <v>9.3762000000000114</v>
      </c>
      <c r="M60" s="92">
        <v>5.5</v>
      </c>
      <c r="N60" s="46">
        <f>M60*15*2-(6%*N30)</f>
        <v>1.5954000000000121</v>
      </c>
      <c r="O60" s="42"/>
      <c r="P60" s="92">
        <v>5.5</v>
      </c>
      <c r="Q60" s="46">
        <f>P60*15*2-(6%*Q30)</f>
        <v>9.3762000000000114</v>
      </c>
      <c r="R60" s="42"/>
      <c r="S60" s="92">
        <v>0</v>
      </c>
      <c r="T60" s="46">
        <f>S60*15*2-(6%*T30)</f>
        <v>0</v>
      </c>
      <c r="U60" s="199"/>
      <c r="V60" s="230">
        <v>0</v>
      </c>
      <c r="W60" s="223">
        <f>V60*15*2-(6%*W30)*0</f>
        <v>0</v>
      </c>
      <c r="Y60" s="92">
        <v>5.5</v>
      </c>
      <c r="Z60" s="46">
        <f>Y60*15*2-(6%*Z30)</f>
        <v>9.3762000000000114</v>
      </c>
    </row>
    <row r="61" spans="1:26" x14ac:dyDescent="0.2">
      <c r="A61" s="42"/>
      <c r="B61" s="71" t="s">
        <v>2</v>
      </c>
      <c r="C61" s="378" t="s">
        <v>98</v>
      </c>
      <c r="D61" s="446"/>
      <c r="E61" s="93">
        <v>37.5</v>
      </c>
      <c r="F61" s="52">
        <f>E61*15</f>
        <v>562.5</v>
      </c>
      <c r="G61" s="93">
        <v>39.29</v>
      </c>
      <c r="H61" s="52">
        <f>G61*15</f>
        <v>589.35</v>
      </c>
      <c r="I61" s="93">
        <v>42.63</v>
      </c>
      <c r="J61" s="52">
        <f>I61*15</f>
        <v>639.45000000000005</v>
      </c>
      <c r="K61" s="93">
        <v>45.12</v>
      </c>
      <c r="L61" s="52">
        <f>K61*15</f>
        <v>676.8</v>
      </c>
      <c r="M61" s="310">
        <v>47.37</v>
      </c>
      <c r="N61" s="52">
        <f>M61*15</f>
        <v>710.55</v>
      </c>
      <c r="O61" s="42"/>
      <c r="P61" s="93">
        <v>45.12</v>
      </c>
      <c r="Q61" s="52">
        <f>P61*15</f>
        <v>676.8</v>
      </c>
      <c r="R61" s="42"/>
      <c r="S61" s="93">
        <v>0</v>
      </c>
      <c r="T61" s="52">
        <f>S61*15</f>
        <v>0</v>
      </c>
      <c r="U61" s="199"/>
      <c r="V61" s="231">
        <v>0</v>
      </c>
      <c r="W61" s="227">
        <f>V61*15</f>
        <v>0</v>
      </c>
      <c r="Y61" s="93">
        <v>45.12</v>
      </c>
      <c r="Z61" s="52">
        <f>Y61*15</f>
        <v>676.8</v>
      </c>
    </row>
    <row r="62" spans="1:26" x14ac:dyDescent="0.2">
      <c r="A62" s="42"/>
      <c r="B62" s="71" t="s">
        <v>159</v>
      </c>
      <c r="C62" s="378" t="s">
        <v>160</v>
      </c>
      <c r="D62" s="446"/>
      <c r="E62" s="93">
        <f>E61*0.02</f>
        <v>0.75</v>
      </c>
      <c r="F62" s="52">
        <f>E62*-15</f>
        <v>-11.25</v>
      </c>
      <c r="G62" s="93">
        <f>G61*0.02</f>
        <v>0.78580000000000005</v>
      </c>
      <c r="H62" s="52">
        <f>G62*-15</f>
        <v>-11.787000000000001</v>
      </c>
      <c r="I62" s="93">
        <f>I61*0.02</f>
        <v>0.85260000000000002</v>
      </c>
      <c r="J62" s="52">
        <f>I62*-15</f>
        <v>-12.789</v>
      </c>
      <c r="K62" s="93">
        <f>K61*0.02</f>
        <v>0.90239999999999998</v>
      </c>
      <c r="L62" s="52">
        <f>K62*-15</f>
        <v>-13.536</v>
      </c>
      <c r="M62" s="93">
        <f>M61*0.02</f>
        <v>0.94740000000000002</v>
      </c>
      <c r="N62" s="52">
        <f>M62*-15</f>
        <v>-14.211</v>
      </c>
      <c r="O62" s="42"/>
      <c r="P62" s="93">
        <f>P61*0.02</f>
        <v>0.90239999999999998</v>
      </c>
      <c r="Q62" s="52">
        <f>P62*-15</f>
        <v>-13.536</v>
      </c>
      <c r="R62" s="42"/>
      <c r="S62" s="93">
        <f>S61*0.02</f>
        <v>0</v>
      </c>
      <c r="T62" s="52">
        <f>S62*-15</f>
        <v>0</v>
      </c>
      <c r="U62" s="199"/>
      <c r="V62" s="231">
        <v>0</v>
      </c>
      <c r="W62" s="227">
        <f>V62*-15</f>
        <v>0</v>
      </c>
      <c r="Y62" s="93">
        <f>Y61*0.02</f>
        <v>0.90239999999999998</v>
      </c>
      <c r="Z62" s="52">
        <f>Y62*-15</f>
        <v>-13.536</v>
      </c>
    </row>
    <row r="63" spans="1:26" ht="13.5" thickBot="1" x14ac:dyDescent="0.25">
      <c r="A63" s="42"/>
      <c r="B63" s="71" t="s">
        <v>4</v>
      </c>
      <c r="C63" s="383" t="s">
        <v>161</v>
      </c>
      <c r="D63" s="451"/>
      <c r="E63" s="93"/>
      <c r="F63" s="52">
        <v>10.9</v>
      </c>
      <c r="G63" s="93"/>
      <c r="H63" s="52">
        <v>10.9</v>
      </c>
      <c r="I63" s="93"/>
      <c r="J63" s="52">
        <v>10.9</v>
      </c>
      <c r="K63" s="93"/>
      <c r="L63" s="52">
        <v>10.9</v>
      </c>
      <c r="M63" s="93"/>
      <c r="N63" s="52">
        <v>10.9</v>
      </c>
      <c r="O63" s="42"/>
      <c r="P63" s="93"/>
      <c r="Q63" s="52">
        <v>10.9</v>
      </c>
      <c r="R63" s="42"/>
      <c r="S63" s="93"/>
      <c r="T63" s="52">
        <v>0</v>
      </c>
      <c r="U63" s="199"/>
      <c r="V63" s="231"/>
      <c r="W63" s="227">
        <v>0</v>
      </c>
      <c r="Y63" s="93"/>
      <c r="Z63" s="52">
        <v>10.9</v>
      </c>
    </row>
    <row r="64" spans="1:26" ht="15.75" thickBot="1" x14ac:dyDescent="0.3">
      <c r="A64" s="42"/>
      <c r="B64" s="369" t="s">
        <v>16</v>
      </c>
      <c r="C64" s="370"/>
      <c r="D64" s="370"/>
      <c r="E64" s="371"/>
      <c r="F64" s="5">
        <f>SUM(F60:F63)</f>
        <v>595.59100000000001</v>
      </c>
      <c r="G64" s="8"/>
      <c r="H64" s="5">
        <f>SUM(H60:H63)</f>
        <v>617.95719999999994</v>
      </c>
      <c r="I64" s="8"/>
      <c r="J64" s="5">
        <f>SUM(J60:J63)</f>
        <v>655.5376</v>
      </c>
      <c r="K64" s="8"/>
      <c r="L64" s="5">
        <f>SUM(L60:L63)</f>
        <v>683.54020000000003</v>
      </c>
      <c r="M64" s="8"/>
      <c r="N64" s="5">
        <f>SUM(N60:N63)</f>
        <v>708.83439999999996</v>
      </c>
      <c r="O64" s="42"/>
      <c r="P64" s="8"/>
      <c r="Q64" s="5">
        <f>SUM(Q60:Q63)</f>
        <v>683.54020000000003</v>
      </c>
      <c r="R64" s="42"/>
      <c r="S64" s="8"/>
      <c r="T64" s="5">
        <f>SUM(T60:T63)</f>
        <v>0</v>
      </c>
      <c r="U64" s="199"/>
      <c r="V64" s="232"/>
      <c r="W64" s="214">
        <f>SUM(W60:W63)</f>
        <v>0</v>
      </c>
      <c r="Y64" s="8"/>
      <c r="Z64" s="5">
        <f>SUM(Z60:Z63)</f>
        <v>683.54020000000003</v>
      </c>
    </row>
    <row r="65" spans="1:26" ht="13.5" thickBot="1" x14ac:dyDescent="0.25">
      <c r="A65" s="42"/>
      <c r="B65" s="142"/>
      <c r="C65" s="9"/>
      <c r="D65" s="9"/>
      <c r="E65" s="9"/>
      <c r="F65" s="9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199"/>
      <c r="V65" s="198"/>
      <c r="W65" s="198"/>
      <c r="Y65" s="42"/>
      <c r="Z65" s="42"/>
    </row>
    <row r="66" spans="1:26" ht="15.75" thickBot="1" x14ac:dyDescent="0.3">
      <c r="A66" s="73"/>
      <c r="B66" s="369" t="s">
        <v>99</v>
      </c>
      <c r="C66" s="370"/>
      <c r="D66" s="370"/>
      <c r="E66" s="370"/>
      <c r="F66" s="370"/>
      <c r="G66" s="370"/>
      <c r="H66" s="370"/>
      <c r="I66" s="370"/>
      <c r="J66" s="370"/>
      <c r="K66" s="370"/>
      <c r="L66" s="370"/>
      <c r="M66" s="370"/>
      <c r="N66" s="371"/>
      <c r="O66" s="42"/>
      <c r="P66" s="42"/>
      <c r="Q66" s="42"/>
      <c r="R66" s="42"/>
      <c r="S66" s="42"/>
      <c r="T66" s="42"/>
      <c r="U66" s="199"/>
      <c r="V66" s="198"/>
      <c r="W66" s="198"/>
      <c r="Y66" s="42"/>
      <c r="Z66" s="42"/>
    </row>
    <row r="67" spans="1:26" ht="15.75" thickBot="1" x14ac:dyDescent="0.3">
      <c r="A67" s="42"/>
      <c r="B67" s="65">
        <v>2</v>
      </c>
      <c r="C67" s="441" t="s">
        <v>100</v>
      </c>
      <c r="D67" s="447"/>
      <c r="E67" s="134" t="s">
        <v>13</v>
      </c>
      <c r="F67" s="4" t="s">
        <v>35</v>
      </c>
      <c r="G67" s="137" t="s">
        <v>13</v>
      </c>
      <c r="H67" s="4" t="s">
        <v>35</v>
      </c>
      <c r="I67" s="137" t="s">
        <v>13</v>
      </c>
      <c r="J67" s="4" t="s">
        <v>35</v>
      </c>
      <c r="K67" s="137" t="s">
        <v>13</v>
      </c>
      <c r="L67" s="4" t="s">
        <v>35</v>
      </c>
      <c r="M67" s="137" t="s">
        <v>13</v>
      </c>
      <c r="N67" s="4" t="s">
        <v>35</v>
      </c>
      <c r="O67" s="42"/>
      <c r="P67" s="137" t="s">
        <v>13</v>
      </c>
      <c r="Q67" s="4" t="s">
        <v>35</v>
      </c>
      <c r="R67" s="42"/>
      <c r="S67" s="137" t="s">
        <v>13</v>
      </c>
      <c r="T67" s="4" t="s">
        <v>35</v>
      </c>
      <c r="U67" s="199"/>
      <c r="V67" s="233" t="s">
        <v>13</v>
      </c>
      <c r="W67" s="234" t="s">
        <v>35</v>
      </c>
      <c r="Y67" s="137" t="s">
        <v>13</v>
      </c>
      <c r="Z67" s="4" t="s">
        <v>35</v>
      </c>
    </row>
    <row r="68" spans="1:26" x14ac:dyDescent="0.2">
      <c r="A68" s="42"/>
      <c r="B68" s="70" t="s">
        <v>1</v>
      </c>
      <c r="C68" s="401" t="s">
        <v>86</v>
      </c>
      <c r="D68" s="461"/>
      <c r="E68" s="49">
        <f>E44</f>
        <v>0.20429999999999998</v>
      </c>
      <c r="F68" s="55">
        <f>F44</f>
        <v>582.34693499999992</v>
      </c>
      <c r="G68" s="49"/>
      <c r="H68" s="55">
        <f>H44</f>
        <v>599.81662800000004</v>
      </c>
      <c r="I68" s="49"/>
      <c r="J68" s="55">
        <f>J44</f>
        <v>650.79969299999993</v>
      </c>
      <c r="K68" s="49"/>
      <c r="L68" s="55">
        <f>L44</f>
        <v>688.86895499999991</v>
      </c>
      <c r="M68" s="49"/>
      <c r="N68" s="55">
        <f>N44</f>
        <v>723.30984899999999</v>
      </c>
      <c r="O68" s="42"/>
      <c r="P68" s="49"/>
      <c r="Q68" s="55">
        <f>Q44</f>
        <v>0</v>
      </c>
      <c r="R68" s="42"/>
      <c r="S68" s="49"/>
      <c r="T68" s="55">
        <f>T44</f>
        <v>4720.5733333333328</v>
      </c>
      <c r="U68" s="199"/>
      <c r="V68" s="222"/>
      <c r="W68" s="235">
        <f>W44</f>
        <v>385.44671</v>
      </c>
      <c r="Y68" s="49"/>
      <c r="Z68" s="55">
        <f>Z44</f>
        <v>0</v>
      </c>
    </row>
    <row r="69" spans="1:26" x14ac:dyDescent="0.2">
      <c r="A69" s="42"/>
      <c r="B69" s="71" t="s">
        <v>2</v>
      </c>
      <c r="C69" s="378" t="s">
        <v>91</v>
      </c>
      <c r="D69" s="446"/>
      <c r="E69" s="51">
        <f>E56</f>
        <v>0.35300000000000004</v>
      </c>
      <c r="F69" s="52">
        <f>F56</f>
        <v>1211.777318055</v>
      </c>
      <c r="G69" s="51"/>
      <c r="H69" s="52">
        <f>H56</f>
        <v>1248.1291496840001</v>
      </c>
      <c r="I69" s="51"/>
      <c r="J69" s="52">
        <f>J56</f>
        <v>1354.2173216290003</v>
      </c>
      <c r="K69" s="51"/>
      <c r="L69" s="52">
        <f>L56</f>
        <v>1433.4337911150001</v>
      </c>
      <c r="M69" s="51"/>
      <c r="N69" s="52">
        <f>N56</f>
        <v>1505.1001666969996</v>
      </c>
      <c r="O69" s="42"/>
      <c r="P69" s="51"/>
      <c r="Q69" s="52">
        <f>Q56</f>
        <v>1190.26305</v>
      </c>
      <c r="R69" s="42"/>
      <c r="S69" s="51"/>
      <c r="T69" s="52">
        <f>T56</f>
        <v>1666.3623866666662</v>
      </c>
      <c r="U69" s="199"/>
      <c r="V69" s="224"/>
      <c r="W69" s="227">
        <f>W56</f>
        <v>136.06268863000003</v>
      </c>
      <c r="Y69" s="51"/>
      <c r="Z69" s="52">
        <f>Z56</f>
        <v>1190.26305</v>
      </c>
    </row>
    <row r="70" spans="1:26" ht="13.5" thickBot="1" x14ac:dyDescent="0.25">
      <c r="A70" s="42"/>
      <c r="B70" s="71" t="s">
        <v>4</v>
      </c>
      <c r="C70" s="463" t="s">
        <v>58</v>
      </c>
      <c r="D70" s="464"/>
      <c r="E70" s="51"/>
      <c r="F70" s="52">
        <f>F64</f>
        <v>595.59100000000001</v>
      </c>
      <c r="G70" s="51"/>
      <c r="H70" s="52">
        <f>H64</f>
        <v>617.95719999999994</v>
      </c>
      <c r="I70" s="51"/>
      <c r="J70" s="52">
        <f>J64</f>
        <v>655.5376</v>
      </c>
      <c r="K70" s="51"/>
      <c r="L70" s="52">
        <f>L64</f>
        <v>683.54020000000003</v>
      </c>
      <c r="M70" s="51"/>
      <c r="N70" s="52">
        <f>N64</f>
        <v>708.83439999999996</v>
      </c>
      <c r="O70" s="42"/>
      <c r="P70" s="51"/>
      <c r="Q70" s="52">
        <f>Q64</f>
        <v>683.54020000000003</v>
      </c>
      <c r="R70" s="42"/>
      <c r="S70" s="51"/>
      <c r="T70" s="52">
        <f>T64</f>
        <v>0</v>
      </c>
      <c r="U70" s="199"/>
      <c r="V70" s="224"/>
      <c r="W70" s="227">
        <f>W64</f>
        <v>0</v>
      </c>
      <c r="Y70" s="51"/>
      <c r="Z70" s="52">
        <f>Z64</f>
        <v>683.54020000000003</v>
      </c>
    </row>
    <row r="71" spans="1:26" ht="15.75" thickBot="1" x14ac:dyDescent="0.3">
      <c r="A71" s="42"/>
      <c r="B71" s="369" t="s">
        <v>16</v>
      </c>
      <c r="C71" s="370"/>
      <c r="D71" s="371"/>
      <c r="E71" s="146">
        <f>SUM(E68:E70)</f>
        <v>0.55730000000000002</v>
      </c>
      <c r="F71" s="5">
        <f>SUM(F68:F70)</f>
        <v>2389.7152530549997</v>
      </c>
      <c r="G71" s="56"/>
      <c r="H71" s="5">
        <f>SUM(H68:H70)</f>
        <v>2465.9029776840002</v>
      </c>
      <c r="I71" s="56"/>
      <c r="J71" s="5">
        <f>SUM(J68:J70)</f>
        <v>2660.5546146290003</v>
      </c>
      <c r="K71" s="56"/>
      <c r="L71" s="5">
        <f>SUM(L68:L70)</f>
        <v>2805.8429461149999</v>
      </c>
      <c r="M71" s="56"/>
      <c r="N71" s="5">
        <f>SUM(N68:N70)</f>
        <v>2937.2444156969996</v>
      </c>
      <c r="O71" s="42"/>
      <c r="P71" s="56"/>
      <c r="Q71" s="5">
        <f>SUM(Q68:Q70)</f>
        <v>1873.8032499999999</v>
      </c>
      <c r="R71" s="42"/>
      <c r="S71" s="56"/>
      <c r="T71" s="5">
        <f>SUM(T68:T70)</f>
        <v>6386.9357199999995</v>
      </c>
      <c r="U71" s="199"/>
      <c r="V71" s="236"/>
      <c r="W71" s="214">
        <f>SUM(W68:W70)</f>
        <v>521.50939863000008</v>
      </c>
      <c r="Y71" s="56"/>
      <c r="Z71" s="5">
        <f>SUM(Z68:Z70)</f>
        <v>1873.8032499999999</v>
      </c>
    </row>
    <row r="72" spans="1:26" ht="15.75" thickBot="1" x14ac:dyDescent="0.3">
      <c r="A72" s="42"/>
      <c r="B72" s="135"/>
      <c r="C72" s="135"/>
      <c r="D72" s="135"/>
      <c r="E72" s="87"/>
      <c r="F72" s="25"/>
      <c r="G72" s="42"/>
      <c r="H72" s="25"/>
      <c r="I72" s="42"/>
      <c r="J72" s="25"/>
      <c r="K72" s="42"/>
      <c r="L72" s="25"/>
      <c r="M72" s="42"/>
      <c r="N72" s="25"/>
      <c r="O72" s="42"/>
      <c r="P72" s="42"/>
      <c r="Q72" s="25"/>
      <c r="R72" s="42"/>
      <c r="S72" s="42"/>
      <c r="T72" s="25"/>
      <c r="U72" s="199"/>
      <c r="V72" s="198"/>
      <c r="W72" s="237"/>
      <c r="Y72" s="42"/>
      <c r="Z72" s="25"/>
    </row>
    <row r="73" spans="1:26" ht="15.75" thickBot="1" x14ac:dyDescent="0.3">
      <c r="A73" s="42"/>
      <c r="B73" s="369" t="s">
        <v>101</v>
      </c>
      <c r="C73" s="370"/>
      <c r="D73" s="370"/>
      <c r="E73" s="370"/>
      <c r="F73" s="370"/>
      <c r="G73" s="370"/>
      <c r="H73" s="370"/>
      <c r="I73" s="370"/>
      <c r="J73" s="370"/>
      <c r="K73" s="370"/>
      <c r="L73" s="370"/>
      <c r="M73" s="370"/>
      <c r="N73" s="371"/>
      <c r="O73" s="42"/>
      <c r="P73" s="42"/>
      <c r="Q73" s="42"/>
      <c r="R73" s="42"/>
      <c r="S73" s="42"/>
      <c r="T73" s="42"/>
      <c r="U73" s="199"/>
      <c r="V73" s="198"/>
      <c r="W73" s="198"/>
      <c r="Y73" s="42"/>
      <c r="Z73" s="42"/>
    </row>
    <row r="74" spans="1:26" ht="15.75" thickBot="1" x14ac:dyDescent="0.3">
      <c r="A74" s="42"/>
      <c r="B74" s="65">
        <v>3</v>
      </c>
      <c r="C74" s="441" t="s">
        <v>45</v>
      </c>
      <c r="D74" s="447"/>
      <c r="E74" s="134" t="s">
        <v>13</v>
      </c>
      <c r="F74" s="136" t="s">
        <v>35</v>
      </c>
      <c r="G74" s="4" t="s">
        <v>13</v>
      </c>
      <c r="H74" s="4" t="s">
        <v>35</v>
      </c>
      <c r="I74" s="4" t="s">
        <v>13</v>
      </c>
      <c r="J74" s="138" t="s">
        <v>35</v>
      </c>
      <c r="K74" s="4" t="s">
        <v>13</v>
      </c>
      <c r="L74" s="138" t="s">
        <v>35</v>
      </c>
      <c r="M74" s="4" t="s">
        <v>13</v>
      </c>
      <c r="N74" s="138" t="s">
        <v>35</v>
      </c>
      <c r="O74" s="42"/>
      <c r="P74" s="4" t="s">
        <v>13</v>
      </c>
      <c r="Q74" s="138" t="s">
        <v>35</v>
      </c>
      <c r="R74" s="42"/>
      <c r="S74" s="4" t="s">
        <v>13</v>
      </c>
      <c r="T74" s="138" t="s">
        <v>35</v>
      </c>
      <c r="U74" s="199"/>
      <c r="V74" s="234" t="s">
        <v>13</v>
      </c>
      <c r="W74" s="238" t="s">
        <v>35</v>
      </c>
      <c r="Y74" s="4" t="s">
        <v>13</v>
      </c>
      <c r="Z74" s="138" t="s">
        <v>35</v>
      </c>
    </row>
    <row r="75" spans="1:26" x14ac:dyDescent="0.2">
      <c r="A75" s="42"/>
      <c r="B75" s="70" t="s">
        <v>1</v>
      </c>
      <c r="C75" s="401" t="s">
        <v>104</v>
      </c>
      <c r="D75" s="461"/>
      <c r="E75" s="132">
        <f>1/12*0.01</f>
        <v>8.3333333333333328E-4</v>
      </c>
      <c r="F75" s="59">
        <f t="shared" ref="F75:F80" si="4">$F$37*E75</f>
        <v>2.3753749999999996</v>
      </c>
      <c r="G75" s="132">
        <f>1/12*0.01*3/30</f>
        <v>8.3333333333333317E-5</v>
      </c>
      <c r="H75" s="59">
        <f t="shared" ref="H75:H80" si="5">$H$37*G75</f>
        <v>0.24466333333333329</v>
      </c>
      <c r="I75" s="132">
        <f>1/12*0.01*3/30</f>
        <v>8.3333333333333317E-5</v>
      </c>
      <c r="J75" s="55">
        <f>J37*I75</f>
        <v>0.26545916666666663</v>
      </c>
      <c r="K75" s="132">
        <f>1/12*0.01*3/30</f>
        <v>8.3333333333333317E-5</v>
      </c>
      <c r="L75" s="55">
        <f>L37*K75</f>
        <v>0.28098749999999995</v>
      </c>
      <c r="M75" s="132">
        <f>1/12*0.01*3/30</f>
        <v>8.3333333333333317E-5</v>
      </c>
      <c r="N75" s="55">
        <f>N37*M75</f>
        <v>0.29503583333333327</v>
      </c>
      <c r="O75" s="42"/>
      <c r="P75" s="132">
        <v>0</v>
      </c>
      <c r="Q75" s="55">
        <f>Q37*P75</f>
        <v>0</v>
      </c>
      <c r="R75" s="42"/>
      <c r="S75" s="132">
        <v>0</v>
      </c>
      <c r="T75" s="55">
        <f>T37*S75</f>
        <v>0</v>
      </c>
      <c r="U75" s="199"/>
      <c r="V75" s="239">
        <f>ROUND((1/12*0.01*3/30),6)</f>
        <v>8.2999999999999998E-5</v>
      </c>
      <c r="W75" s="296">
        <f>W37*V75</f>
        <v>0.26439732999999999</v>
      </c>
      <c r="Y75" s="132">
        <f>1/12*0.01*3/30</f>
        <v>8.3333333333333317E-5</v>
      </c>
      <c r="Z75" s="55">
        <f>Z37*Y75</f>
        <v>0.28098749999999995</v>
      </c>
    </row>
    <row r="76" spans="1:26" x14ac:dyDescent="0.2">
      <c r="A76" s="42"/>
      <c r="B76" s="71" t="s">
        <v>2</v>
      </c>
      <c r="C76" s="378" t="s">
        <v>67</v>
      </c>
      <c r="D76" s="446"/>
      <c r="E76" s="123">
        <f>E75*E55</f>
        <v>6.666666666666667E-5</v>
      </c>
      <c r="F76" s="59">
        <f t="shared" si="4"/>
        <v>0.19003</v>
      </c>
      <c r="G76" s="123">
        <f>G75*G55</f>
        <v>6.6666666666666658E-6</v>
      </c>
      <c r="H76" s="59">
        <f t="shared" si="5"/>
        <v>1.9573066666666663E-2</v>
      </c>
      <c r="I76" s="123">
        <f>I75*I55</f>
        <v>6.6666666666666658E-6</v>
      </c>
      <c r="J76" s="52">
        <f>J37*I76</f>
        <v>2.123673333333333E-2</v>
      </c>
      <c r="K76" s="123">
        <f>K75*K55</f>
        <v>6.6666666666666658E-6</v>
      </c>
      <c r="L76" s="52">
        <f>L37*K76</f>
        <v>2.2478999999999996E-2</v>
      </c>
      <c r="M76" s="123">
        <f>M75*M55</f>
        <v>6.6666666666666658E-6</v>
      </c>
      <c r="N76" s="52">
        <f>N37*M76</f>
        <v>2.3602866666666663E-2</v>
      </c>
      <c r="O76" s="42"/>
      <c r="P76" s="123">
        <f>P75*P55</f>
        <v>0</v>
      </c>
      <c r="Q76" s="52">
        <f>Q37*P76</f>
        <v>0</v>
      </c>
      <c r="R76" s="42"/>
      <c r="S76" s="123">
        <f>S75*S55</f>
        <v>0</v>
      </c>
      <c r="T76" s="52">
        <f>T37*S76</f>
        <v>0</v>
      </c>
      <c r="U76" s="199"/>
      <c r="V76" s="240">
        <f>V75*V55</f>
        <v>6.64E-6</v>
      </c>
      <c r="W76" s="297">
        <f>W37*V76</f>
        <v>2.1151786400000001E-2</v>
      </c>
      <c r="Y76" s="123">
        <f>Y75*Y55</f>
        <v>6.6666666666666658E-6</v>
      </c>
      <c r="Z76" s="52">
        <f>Z37*Y76</f>
        <v>2.2478999999999996E-2</v>
      </c>
    </row>
    <row r="77" spans="1:26" x14ac:dyDescent="0.2">
      <c r="A77" s="42"/>
      <c r="B77" s="71" t="s">
        <v>4</v>
      </c>
      <c r="C77" s="378" t="s">
        <v>162</v>
      </c>
      <c r="D77" s="446"/>
      <c r="E77" s="51">
        <f>0.08*0.4*0.95</f>
        <v>3.04E-2</v>
      </c>
      <c r="F77" s="59">
        <f t="shared" si="4"/>
        <v>86.653679999999994</v>
      </c>
      <c r="G77" s="51">
        <f>0.08*0.4*0.95</f>
        <v>3.04E-2</v>
      </c>
      <c r="H77" s="59">
        <f t="shared" si="5"/>
        <v>89.253184000000005</v>
      </c>
      <c r="I77" s="51">
        <f>0.08*0.4*0.95</f>
        <v>3.04E-2</v>
      </c>
      <c r="J77" s="52">
        <f>J37*I77</f>
        <v>96.839504000000005</v>
      </c>
      <c r="K77" s="51">
        <f>0.08*0.4*0.95</f>
        <v>3.04E-2</v>
      </c>
      <c r="L77" s="52">
        <f>L37*K77</f>
        <v>102.50424</v>
      </c>
      <c r="M77" s="51">
        <f>0.08*0.4*0.95</f>
        <v>3.04E-2</v>
      </c>
      <c r="N77" s="52">
        <f>N37*M77</f>
        <v>107.62907199999999</v>
      </c>
      <c r="O77" s="42"/>
      <c r="P77" s="51">
        <v>0</v>
      </c>
      <c r="Q77" s="52">
        <f>Q37*P77</f>
        <v>0</v>
      </c>
      <c r="R77" s="42"/>
      <c r="S77" s="51">
        <v>0</v>
      </c>
      <c r="T77" s="52">
        <f>T37*S77</f>
        <v>0</v>
      </c>
      <c r="U77" s="199"/>
      <c r="V77" s="224">
        <f>0.08*0.4*0.95</f>
        <v>3.04E-2</v>
      </c>
      <c r="W77" s="297">
        <f>W37*V77</f>
        <v>96.839504000000005</v>
      </c>
      <c r="Y77" s="51">
        <f>0.08*0.4*0.95</f>
        <v>3.04E-2</v>
      </c>
      <c r="Z77" s="52">
        <f>Z37*Y77</f>
        <v>102.50424</v>
      </c>
    </row>
    <row r="78" spans="1:26" x14ac:dyDescent="0.2">
      <c r="A78" s="42"/>
      <c r="B78" s="71" t="s">
        <v>5</v>
      </c>
      <c r="C78" s="378" t="s">
        <v>102</v>
      </c>
      <c r="D78" s="446"/>
      <c r="E78" s="102">
        <f>7/30/12*0.01</f>
        <v>1.9444444444444446E-4</v>
      </c>
      <c r="F78" s="59">
        <f t="shared" si="4"/>
        <v>0.55425416666666671</v>
      </c>
      <c r="G78" s="102">
        <f>7/30/12*0.01*3/30</f>
        <v>1.9444444444444445E-5</v>
      </c>
      <c r="H78" s="59">
        <f t="shared" si="5"/>
        <v>5.7088111111111117E-2</v>
      </c>
      <c r="I78" s="102">
        <f>7/30/12*0.01*3/30</f>
        <v>1.9444444444444445E-5</v>
      </c>
      <c r="J78" s="52">
        <f>J37*I78</f>
        <v>6.194047222222223E-2</v>
      </c>
      <c r="K78" s="102">
        <f>7/30/12*0.01*3/30</f>
        <v>1.9444444444444445E-5</v>
      </c>
      <c r="L78" s="52">
        <f>L37*K78</f>
        <v>6.5563750000000004E-2</v>
      </c>
      <c r="M78" s="102">
        <f>7/30/12*0.01*3/30</f>
        <v>1.9444444444444445E-5</v>
      </c>
      <c r="N78" s="52">
        <f>N37*M78</f>
        <v>6.8841694444444448E-2</v>
      </c>
      <c r="O78" s="42"/>
      <c r="P78" s="102">
        <v>0</v>
      </c>
      <c r="Q78" s="52">
        <f>Q37*P78</f>
        <v>0</v>
      </c>
      <c r="R78" s="42"/>
      <c r="S78" s="102">
        <v>0</v>
      </c>
      <c r="T78" s="52">
        <f>T37*S78</f>
        <v>0</v>
      </c>
      <c r="U78" s="199"/>
      <c r="V78" s="241">
        <v>0</v>
      </c>
      <c r="W78" s="297">
        <f>W37*V78</f>
        <v>0</v>
      </c>
      <c r="Y78" s="102">
        <f>7/30/12*0.01*3/30</f>
        <v>1.9444444444444445E-5</v>
      </c>
      <c r="Z78" s="52">
        <f>Z37*Y78</f>
        <v>6.5563750000000004E-2</v>
      </c>
    </row>
    <row r="79" spans="1:26" x14ac:dyDescent="0.2">
      <c r="A79" s="42"/>
      <c r="B79" s="71" t="s">
        <v>6</v>
      </c>
      <c r="C79" s="378" t="s">
        <v>103</v>
      </c>
      <c r="D79" s="446"/>
      <c r="E79" s="123">
        <f>E78*E56</f>
        <v>6.8638888888888902E-5</v>
      </c>
      <c r="F79" s="59">
        <f t="shared" si="4"/>
        <v>0.19565172083333335</v>
      </c>
      <c r="G79" s="123">
        <f>G78*G56</f>
        <v>6.8638888888888899E-6</v>
      </c>
      <c r="H79" s="59">
        <f t="shared" si="5"/>
        <v>2.0152103222222224E-2</v>
      </c>
      <c r="I79" s="123">
        <f>I78*I56</f>
        <v>6.8638888888888899E-6</v>
      </c>
      <c r="J79" s="52">
        <f>J37*I79</f>
        <v>2.1864986694444449E-2</v>
      </c>
      <c r="K79" s="123">
        <f>K78*K56</f>
        <v>6.8638888888888899E-6</v>
      </c>
      <c r="L79" s="52">
        <f>L37*K79</f>
        <v>2.3144003750000003E-2</v>
      </c>
      <c r="M79" s="123">
        <f>M78*M56</f>
        <v>6.8638888888888899E-6</v>
      </c>
      <c r="N79" s="52">
        <f>N37*M79</f>
        <v>2.430111813888889E-2</v>
      </c>
      <c r="O79" s="42"/>
      <c r="P79" s="123">
        <f>P78*P56</f>
        <v>0</v>
      </c>
      <c r="Q79" s="52">
        <f>Q37*P79</f>
        <v>0</v>
      </c>
      <c r="R79" s="42"/>
      <c r="S79" s="123">
        <f>S78*S56</f>
        <v>0</v>
      </c>
      <c r="T79" s="52">
        <f>T37*S79</f>
        <v>0</v>
      </c>
      <c r="U79" s="199"/>
      <c r="V79" s="240">
        <f>V78*V56</f>
        <v>0</v>
      </c>
      <c r="W79" s="297">
        <f>W37*V79</f>
        <v>0</v>
      </c>
      <c r="Y79" s="123">
        <f>Y78*Y56</f>
        <v>6.8638888888888899E-6</v>
      </c>
      <c r="Z79" s="52">
        <f>Z37*Y79</f>
        <v>2.3144003750000003E-2</v>
      </c>
    </row>
    <row r="80" spans="1:26" ht="13.5" thickBot="1" x14ac:dyDescent="0.25">
      <c r="A80" s="42"/>
      <c r="B80" s="80" t="s">
        <v>7</v>
      </c>
      <c r="C80" s="383" t="s">
        <v>163</v>
      </c>
      <c r="D80" s="451"/>
      <c r="E80" s="144">
        <f>E78*0.4</f>
        <v>7.7777777777777795E-5</v>
      </c>
      <c r="F80" s="82">
        <f t="shared" si="4"/>
        <v>0.22170166666666671</v>
      </c>
      <c r="G80" s="144">
        <f>G78*0.4</f>
        <v>7.7777777777777792E-6</v>
      </c>
      <c r="H80" s="59">
        <f t="shared" si="5"/>
        <v>2.2835244444444448E-2</v>
      </c>
      <c r="I80" s="144">
        <f>I78*0.4</f>
        <v>7.7777777777777792E-6</v>
      </c>
      <c r="J80" s="52">
        <f>J37*I80</f>
        <v>2.4776188888888894E-2</v>
      </c>
      <c r="K80" s="144">
        <f>K78*0.4</f>
        <v>7.7777777777777792E-6</v>
      </c>
      <c r="L80" s="52">
        <f>L37*K80</f>
        <v>2.6225500000000002E-2</v>
      </c>
      <c r="M80" s="144">
        <f>M78*0.4</f>
        <v>7.7777777777777792E-6</v>
      </c>
      <c r="N80" s="52">
        <f>N37*M80</f>
        <v>2.7536677777777782E-2</v>
      </c>
      <c r="O80" s="42"/>
      <c r="P80" s="144">
        <f>P78*0.4</f>
        <v>0</v>
      </c>
      <c r="Q80" s="52">
        <f>Q37*P80</f>
        <v>0</v>
      </c>
      <c r="R80" s="42"/>
      <c r="S80" s="144">
        <f>S78*0.4</f>
        <v>0</v>
      </c>
      <c r="T80" s="52">
        <f>T37*S80</f>
        <v>0</v>
      </c>
      <c r="U80" s="199"/>
      <c r="V80" s="242">
        <f>M78*0.4</f>
        <v>7.7777777777777792E-6</v>
      </c>
      <c r="W80" s="297">
        <f>W37*V80</f>
        <v>2.4776188888888894E-2</v>
      </c>
      <c r="Y80" s="144">
        <f>Y78*0.4</f>
        <v>7.7777777777777792E-6</v>
      </c>
      <c r="Z80" s="52">
        <f>Z37*Y80</f>
        <v>2.6225500000000002E-2</v>
      </c>
    </row>
    <row r="81" spans="1:26" ht="15.75" thickBot="1" x14ac:dyDescent="0.3">
      <c r="A81" s="42"/>
      <c r="B81" s="369" t="s">
        <v>16</v>
      </c>
      <c r="C81" s="370"/>
      <c r="D81" s="371"/>
      <c r="E81" s="146">
        <f>SUM(E75:E80)</f>
        <v>3.1640861111111113E-2</v>
      </c>
      <c r="F81" s="5">
        <f>SUM(F75:F80)</f>
        <v>90.19069255416666</v>
      </c>
      <c r="G81" s="60"/>
      <c r="H81" s="13">
        <f>SUM(H75:H80)</f>
        <v>89.617495858777787</v>
      </c>
      <c r="I81" s="41"/>
      <c r="J81" s="5">
        <f>SUM(J75:J80)</f>
        <v>97.234781547805554</v>
      </c>
      <c r="K81" s="41"/>
      <c r="L81" s="5">
        <f>SUM(L75:L80)</f>
        <v>102.92263975374999</v>
      </c>
      <c r="M81" s="41"/>
      <c r="N81" s="5">
        <f>SUM(N75:N80)</f>
        <v>108.0683901903611</v>
      </c>
      <c r="O81" s="42"/>
      <c r="P81" s="41"/>
      <c r="Q81" s="5">
        <f>SUM(Q75:Q80)</f>
        <v>0</v>
      </c>
      <c r="R81" s="42"/>
      <c r="S81" s="41"/>
      <c r="T81" s="5">
        <f>SUM(T75:T80)</f>
        <v>0</v>
      </c>
      <c r="U81" s="199"/>
      <c r="V81" s="213"/>
      <c r="W81" s="298">
        <f>SUM(W75:W80)</f>
        <v>97.149829305288904</v>
      </c>
      <c r="Y81" s="41"/>
      <c r="Z81" s="5">
        <f>SUM(Z75:Z80)</f>
        <v>102.92263975374999</v>
      </c>
    </row>
    <row r="82" spans="1:26" ht="15.75" thickBot="1" x14ac:dyDescent="0.3">
      <c r="A82" s="42"/>
      <c r="B82" s="135"/>
      <c r="C82" s="135"/>
      <c r="D82" s="135"/>
      <c r="E82" s="135"/>
      <c r="F82" s="25"/>
      <c r="G82" s="42"/>
      <c r="H82" s="25"/>
      <c r="I82" s="42"/>
      <c r="J82" s="25"/>
      <c r="K82" s="42"/>
      <c r="L82" s="25"/>
      <c r="M82" s="42"/>
      <c r="N82" s="25"/>
      <c r="O82" s="42"/>
      <c r="P82" s="42"/>
      <c r="Q82" s="25"/>
      <c r="R82" s="42"/>
      <c r="S82" s="42"/>
      <c r="T82" s="25"/>
      <c r="U82" s="199"/>
      <c r="V82" s="198"/>
      <c r="W82" s="237"/>
      <c r="Y82" s="42"/>
      <c r="Z82" s="25"/>
    </row>
    <row r="83" spans="1:26" ht="15.75" thickBot="1" x14ac:dyDescent="0.3">
      <c r="A83" s="42"/>
      <c r="B83" s="369" t="s">
        <v>105</v>
      </c>
      <c r="C83" s="370"/>
      <c r="D83" s="370"/>
      <c r="E83" s="370"/>
      <c r="F83" s="370"/>
      <c r="G83" s="370"/>
      <c r="H83" s="370"/>
      <c r="I83" s="370"/>
      <c r="J83" s="370"/>
      <c r="K83" s="370"/>
      <c r="L83" s="370"/>
      <c r="M83" s="370"/>
      <c r="N83" s="371"/>
      <c r="O83" s="42"/>
      <c r="P83" s="42"/>
      <c r="Q83" s="42"/>
      <c r="R83" s="42"/>
      <c r="S83" s="42"/>
      <c r="T83" s="42"/>
      <c r="U83" s="199"/>
      <c r="V83" s="198"/>
      <c r="W83" s="198"/>
      <c r="Y83" s="42"/>
      <c r="Z83" s="42"/>
    </row>
    <row r="84" spans="1:26" ht="15.75" thickBot="1" x14ac:dyDescent="0.3">
      <c r="A84" s="42"/>
      <c r="B84" s="369" t="s">
        <v>106</v>
      </c>
      <c r="C84" s="370"/>
      <c r="D84" s="370"/>
      <c r="E84" s="370"/>
      <c r="F84" s="370"/>
      <c r="G84" s="370"/>
      <c r="H84" s="370"/>
      <c r="I84" s="370"/>
      <c r="J84" s="370"/>
      <c r="K84" s="370"/>
      <c r="L84" s="370"/>
      <c r="M84" s="370"/>
      <c r="N84" s="371"/>
      <c r="O84" s="42"/>
      <c r="P84" s="42"/>
      <c r="Q84" s="42"/>
      <c r="R84" s="42"/>
      <c r="S84" s="42"/>
      <c r="T84" s="42"/>
      <c r="U84" s="199"/>
      <c r="V84" s="198"/>
      <c r="W84" s="198"/>
      <c r="Y84" s="42"/>
      <c r="Z84" s="42"/>
    </row>
    <row r="85" spans="1:26" ht="15.75" thickBot="1" x14ac:dyDescent="0.25">
      <c r="A85" s="42"/>
      <c r="B85" s="139" t="s">
        <v>48</v>
      </c>
      <c r="C85" s="441" t="s">
        <v>46</v>
      </c>
      <c r="D85" s="447"/>
      <c r="E85" s="28" t="s">
        <v>13</v>
      </c>
      <c r="F85" s="30" t="s">
        <v>35</v>
      </c>
      <c r="G85" s="95" t="s">
        <v>13</v>
      </c>
      <c r="H85" s="95" t="s">
        <v>35</v>
      </c>
      <c r="I85" s="95" t="s">
        <v>13</v>
      </c>
      <c r="J85" s="31" t="s">
        <v>35</v>
      </c>
      <c r="K85" s="95" t="s">
        <v>13</v>
      </c>
      <c r="L85" s="31" t="s">
        <v>35</v>
      </c>
      <c r="M85" s="95" t="s">
        <v>13</v>
      </c>
      <c r="N85" s="31" t="s">
        <v>35</v>
      </c>
      <c r="O85" s="42"/>
      <c r="P85" s="95" t="s">
        <v>13</v>
      </c>
      <c r="Q85" s="31" t="s">
        <v>35</v>
      </c>
      <c r="R85" s="42"/>
      <c r="S85" s="95" t="s">
        <v>13</v>
      </c>
      <c r="T85" s="31" t="s">
        <v>35</v>
      </c>
      <c r="U85" s="199"/>
      <c r="V85" s="243" t="s">
        <v>13</v>
      </c>
      <c r="W85" s="244" t="s">
        <v>35</v>
      </c>
      <c r="Y85" s="95" t="s">
        <v>13</v>
      </c>
      <c r="Z85" s="31" t="s">
        <v>35</v>
      </c>
    </row>
    <row r="86" spans="1:26" ht="13.5" thickBot="1" x14ac:dyDescent="0.25">
      <c r="A86" s="42"/>
      <c r="B86" s="70" t="s">
        <v>1</v>
      </c>
      <c r="C86" s="401" t="s">
        <v>164</v>
      </c>
      <c r="D86" s="461"/>
      <c r="E86" s="88">
        <f>ROUND((1/12+1/12*1/3)/12,4)</f>
        <v>9.2999999999999992E-3</v>
      </c>
      <c r="F86" s="46">
        <f>$F$37*E86</f>
        <v>26.509184999999995</v>
      </c>
      <c r="G86" s="88">
        <f>ROUND((1/12+1/12*1/3)/12,4)</f>
        <v>9.2999999999999992E-3</v>
      </c>
      <c r="H86" s="61">
        <f>$H$37*G86</f>
        <v>27.304427999999998</v>
      </c>
      <c r="I86" s="88">
        <f>ROUND((1/12+1/12*1/3)/12,4)</f>
        <v>9.2999999999999992E-3</v>
      </c>
      <c r="J86" s="46">
        <f>J37*I86</f>
        <v>29.625243000000001</v>
      </c>
      <c r="K86" s="88">
        <f>ROUND((1/12+1/12*1/3)/12,4)</f>
        <v>9.2999999999999992E-3</v>
      </c>
      <c r="L86" s="46">
        <f>L37*K86</f>
        <v>31.358204999999998</v>
      </c>
      <c r="M86" s="88">
        <f>ROUND((1/12+1/12*1/3)/12,4)</f>
        <v>9.2999999999999992E-3</v>
      </c>
      <c r="N86" s="46">
        <f>N37*M86</f>
        <v>32.925998999999997</v>
      </c>
      <c r="O86" s="42"/>
      <c r="P86" s="88">
        <v>0</v>
      </c>
      <c r="Q86" s="46">
        <f>Q37*P86</f>
        <v>0</v>
      </c>
      <c r="R86" s="42"/>
      <c r="S86" s="88">
        <f>ROUND((1/12+1/12*1/3)/12,4)</f>
        <v>9.2999999999999992E-3</v>
      </c>
      <c r="T86" s="46">
        <f>N37*S86</f>
        <v>32.925998999999997</v>
      </c>
      <c r="U86" s="199"/>
      <c r="V86" s="216">
        <v>0</v>
      </c>
      <c r="W86" s="223">
        <f>W37*V86</f>
        <v>0</v>
      </c>
      <c r="Y86" s="88">
        <v>0</v>
      </c>
      <c r="Z86" s="46">
        <f>Z37*Y86</f>
        <v>0</v>
      </c>
    </row>
    <row r="87" spans="1:26" x14ac:dyDescent="0.2">
      <c r="A87" s="42"/>
      <c r="B87" s="71" t="s">
        <v>2</v>
      </c>
      <c r="C87" s="378" t="s">
        <v>165</v>
      </c>
      <c r="D87" s="446"/>
      <c r="E87" s="51">
        <f>((2.96/30)/12)*3%</f>
        <v>2.4666666666666668E-4</v>
      </c>
      <c r="F87" s="82">
        <f>$F$37*E87</f>
        <v>0.70311100000000004</v>
      </c>
      <c r="G87" s="123">
        <f>((2.96/30)/12)*3%</f>
        <v>2.4666666666666668E-4</v>
      </c>
      <c r="H87" s="52">
        <f>$H$37*G87</f>
        <v>0.72420346666666668</v>
      </c>
      <c r="I87" s="123">
        <f>((2.96/30)/12)*3%</f>
        <v>2.4666666666666668E-4</v>
      </c>
      <c r="J87" s="52">
        <f>J37*I87</f>
        <v>0.78575913333333347</v>
      </c>
      <c r="K87" s="123">
        <f>((2.96/30)/12)*3%</f>
        <v>2.4666666666666668E-4</v>
      </c>
      <c r="L87" s="52">
        <f>L37*K87</f>
        <v>0.83172299999999999</v>
      </c>
      <c r="M87" s="123">
        <f>((2.96/30)/12)*3%</f>
        <v>2.4666666666666668E-4</v>
      </c>
      <c r="N87" s="52">
        <f>N37*M87</f>
        <v>0.87330606666666666</v>
      </c>
      <c r="O87" s="42"/>
      <c r="P87" s="123">
        <v>0</v>
      </c>
      <c r="Q87" s="52">
        <f>Q37*P87</f>
        <v>0</v>
      </c>
      <c r="R87" s="42"/>
      <c r="S87" s="123">
        <v>0</v>
      </c>
      <c r="T87" s="55">
        <f>T37*S87</f>
        <v>0</v>
      </c>
      <c r="U87" s="199"/>
      <c r="V87" s="240">
        <v>0</v>
      </c>
      <c r="W87" s="235">
        <f>W37*V87</f>
        <v>0</v>
      </c>
      <c r="Y87" s="88">
        <v>0</v>
      </c>
      <c r="Z87" s="52">
        <f>(Z37+Z71+Z81)/30</f>
        <v>178.28586299179162</v>
      </c>
    </row>
    <row r="88" spans="1:26" x14ac:dyDescent="0.2">
      <c r="A88" s="42"/>
      <c r="B88" s="71" t="s">
        <v>4</v>
      </c>
      <c r="C88" s="378" t="s">
        <v>166</v>
      </c>
      <c r="D88" s="446"/>
      <c r="E88" s="51">
        <f>ROUND(5/30/12*1.5%,4)</f>
        <v>2.0000000000000001E-4</v>
      </c>
      <c r="F88" s="52">
        <f>$F$37*E88</f>
        <v>0.57008999999999999</v>
      </c>
      <c r="G88" s="51">
        <f>ROUND(5/30/12*1.5%,4)</f>
        <v>2.0000000000000001E-4</v>
      </c>
      <c r="H88" s="52">
        <f>$H$37*G88</f>
        <v>0.58719200000000005</v>
      </c>
      <c r="I88" s="51">
        <f>ROUND(5/30/12*1.5%,4)</f>
        <v>2.0000000000000001E-4</v>
      </c>
      <c r="J88" s="52">
        <f>J37*I88</f>
        <v>0.63710200000000006</v>
      </c>
      <c r="K88" s="51">
        <f>ROUND(5/30/12*1.5%,4)</f>
        <v>2.0000000000000001E-4</v>
      </c>
      <c r="L88" s="52">
        <f>L37*K88</f>
        <v>0.67437000000000002</v>
      </c>
      <c r="M88" s="51">
        <f>ROUND(5/30/12*1.5%,4)</f>
        <v>2.0000000000000001E-4</v>
      </c>
      <c r="N88" s="52">
        <f>N37*M88</f>
        <v>0.70808599999999999</v>
      </c>
      <c r="O88" s="42"/>
      <c r="P88" s="51">
        <v>0</v>
      </c>
      <c r="Q88" s="52">
        <f>Q37*P88</f>
        <v>0</v>
      </c>
      <c r="R88" s="42"/>
      <c r="S88" s="51">
        <v>0</v>
      </c>
      <c r="T88" s="81">
        <f>T37*S88</f>
        <v>0</v>
      </c>
      <c r="U88" s="199"/>
      <c r="V88" s="224">
        <v>0</v>
      </c>
      <c r="W88" s="225">
        <f>W37*V88</f>
        <v>0</v>
      </c>
      <c r="Y88" s="51">
        <v>0</v>
      </c>
      <c r="Z88" s="52">
        <f>Z37*Y88</f>
        <v>0</v>
      </c>
    </row>
    <row r="89" spans="1:26" x14ac:dyDescent="0.2">
      <c r="A89" s="42"/>
      <c r="B89" s="71" t="s">
        <v>5</v>
      </c>
      <c r="C89" s="378" t="s">
        <v>167</v>
      </c>
      <c r="D89" s="446"/>
      <c r="E89" s="34">
        <f>ROUND(15/30/12*0.01,4)</f>
        <v>4.0000000000000002E-4</v>
      </c>
      <c r="F89" s="84">
        <f>$F$37*E89</f>
        <v>1.14018</v>
      </c>
      <c r="G89" s="34">
        <f>ROUND(15/30/12*0.01,4)</f>
        <v>4.0000000000000002E-4</v>
      </c>
      <c r="H89" s="52">
        <f>$H$37*G89</f>
        <v>1.1743840000000001</v>
      </c>
      <c r="I89" s="34">
        <f>ROUND(15/30/12*0.01,4)</f>
        <v>4.0000000000000002E-4</v>
      </c>
      <c r="J89" s="52">
        <f>J37*I89</f>
        <v>1.2742040000000001</v>
      </c>
      <c r="K89" s="34">
        <f>ROUND(15/30/12*0.01,4)</f>
        <v>4.0000000000000002E-4</v>
      </c>
      <c r="L89" s="52">
        <f>L37*K89</f>
        <v>1.34874</v>
      </c>
      <c r="M89" s="34">
        <f>ROUND(15/30/12*0.01,4)</f>
        <v>4.0000000000000002E-4</v>
      </c>
      <c r="N89" s="52">
        <f>N37*M89</f>
        <v>1.416172</v>
      </c>
      <c r="O89" s="42"/>
      <c r="P89" s="34">
        <v>0</v>
      </c>
      <c r="Q89" s="52">
        <f>Q37*P89</f>
        <v>0</v>
      </c>
      <c r="R89" s="42"/>
      <c r="S89" s="34">
        <v>0</v>
      </c>
      <c r="T89" s="52">
        <f>T37*S89</f>
        <v>0</v>
      </c>
      <c r="U89" s="199"/>
      <c r="V89" s="245">
        <v>0</v>
      </c>
      <c r="W89" s="227">
        <f>W37*V89</f>
        <v>0</v>
      </c>
      <c r="Y89" s="34">
        <v>0</v>
      </c>
      <c r="Z89" s="52">
        <f>Z37*Y89</f>
        <v>0</v>
      </c>
    </row>
    <row r="90" spans="1:26" x14ac:dyDescent="0.2">
      <c r="A90" s="42"/>
      <c r="B90" s="71" t="s">
        <v>6</v>
      </c>
      <c r="C90" s="378" t="s">
        <v>168</v>
      </c>
      <c r="D90" s="446"/>
      <c r="E90" s="51">
        <f>ROUND(((1/12*4)+(1.33/12*4))/12*0.0025,4)</f>
        <v>2.0000000000000001E-4</v>
      </c>
      <c r="F90" s="52">
        <f>$F$37*E90</f>
        <v>0.57008999999999999</v>
      </c>
      <c r="G90" s="51">
        <f>ROUND(((1/12*4)+(1.33/12*4))/12*0.0025,4)</f>
        <v>2.0000000000000001E-4</v>
      </c>
      <c r="H90" s="52">
        <f>$H$37*G90</f>
        <v>0.58719200000000005</v>
      </c>
      <c r="I90" s="51">
        <f>ROUND(((1/12*4)+(1.33/12*4))/12*0.0025,4)</f>
        <v>2.0000000000000001E-4</v>
      </c>
      <c r="J90" s="52">
        <f>J37*I90</f>
        <v>0.63710200000000006</v>
      </c>
      <c r="K90" s="51">
        <f>ROUND(((1/12*4)+(1.33/12*4))/12*0.0025,4)</f>
        <v>2.0000000000000001E-4</v>
      </c>
      <c r="L90" s="52">
        <f>L37*K90</f>
        <v>0.67437000000000002</v>
      </c>
      <c r="M90" s="51">
        <f>ROUND(((1/12*4)+(1.33/12*4))/12*0.0025,4)</f>
        <v>2.0000000000000001E-4</v>
      </c>
      <c r="N90" s="52">
        <f>N37*M90</f>
        <v>0.70808599999999999</v>
      </c>
      <c r="O90" s="42"/>
      <c r="P90" s="51">
        <v>0</v>
      </c>
      <c r="Q90" s="52">
        <f>Q37*P90</f>
        <v>0</v>
      </c>
      <c r="R90" s="42"/>
      <c r="S90" s="51">
        <v>0</v>
      </c>
      <c r="T90" s="55">
        <f>T37*S90</f>
        <v>0</v>
      </c>
      <c r="U90" s="199"/>
      <c r="V90" s="224">
        <v>0</v>
      </c>
      <c r="W90" s="235">
        <f>W37*V90</f>
        <v>0</v>
      </c>
      <c r="Y90" s="51">
        <v>0</v>
      </c>
      <c r="Z90" s="52">
        <f>Z37*Y90</f>
        <v>0</v>
      </c>
    </row>
    <row r="91" spans="1:26" ht="13.5" thickBot="1" x14ac:dyDescent="0.25">
      <c r="A91" s="42"/>
      <c r="B91" s="80" t="s">
        <v>7</v>
      </c>
      <c r="C91" s="383" t="s">
        <v>169</v>
      </c>
      <c r="D91" s="451"/>
      <c r="E91" s="53"/>
      <c r="F91" s="54">
        <f>ROUND($F$37*E91,2)</f>
        <v>0</v>
      </c>
      <c r="G91" s="53"/>
      <c r="H91" s="81">
        <f>ROUND($H$37*G91,2)</f>
        <v>0</v>
      </c>
      <c r="I91" s="53"/>
      <c r="J91" s="52">
        <f>ROUND(J37*I91,2)</f>
        <v>0</v>
      </c>
      <c r="K91" s="53"/>
      <c r="L91" s="52">
        <f>ROUND(L37*K91,2)</f>
        <v>0</v>
      </c>
      <c r="M91" s="53"/>
      <c r="N91" s="52">
        <f>ROUND(N37*M91,2)</f>
        <v>0</v>
      </c>
      <c r="O91" s="42"/>
      <c r="P91" s="53"/>
      <c r="Q91" s="52">
        <f>ROUND(Q37*P91,2)</f>
        <v>0</v>
      </c>
      <c r="R91" s="42"/>
      <c r="S91" s="53"/>
      <c r="T91" s="58">
        <f>ROUND(T37*S91,2)</f>
        <v>0</v>
      </c>
      <c r="U91" s="199"/>
      <c r="V91" s="228"/>
      <c r="W91" s="246">
        <f>ROUND(W37*V91,2)</f>
        <v>0</v>
      </c>
      <c r="Y91" s="53"/>
      <c r="Z91" s="52">
        <f>ROUND(Z37*Y91,2)</f>
        <v>0</v>
      </c>
    </row>
    <row r="92" spans="1:26" ht="15.75" thickBot="1" x14ac:dyDescent="0.3">
      <c r="A92" s="42"/>
      <c r="B92" s="369" t="s">
        <v>16</v>
      </c>
      <c r="C92" s="370"/>
      <c r="D92" s="371"/>
      <c r="E92" s="146">
        <f>SUM(E86:E91)</f>
        <v>1.0346666666666665E-2</v>
      </c>
      <c r="F92" s="5">
        <f>SUM(F86:F91)</f>
        <v>29.492655999999997</v>
      </c>
      <c r="G92" s="41"/>
      <c r="H92" s="5">
        <f>SUM(H86:H91)</f>
        <v>30.377399466666667</v>
      </c>
      <c r="I92" s="41"/>
      <c r="J92" s="5">
        <f>SUM(J86:J91)</f>
        <v>32.959410133333328</v>
      </c>
      <c r="K92" s="41"/>
      <c r="L92" s="5">
        <f>SUM(L86:L91)</f>
        <v>34.887408000000001</v>
      </c>
      <c r="M92" s="41"/>
      <c r="N92" s="5">
        <f>SUM(N86:N91)</f>
        <v>36.631649066666668</v>
      </c>
      <c r="O92" s="42"/>
      <c r="P92" s="41"/>
      <c r="Q92" s="5">
        <f>SUM(Q86:Q91)</f>
        <v>0</v>
      </c>
      <c r="R92" s="42"/>
      <c r="S92" s="41"/>
      <c r="T92" s="5">
        <f>SUM(T86:T91)</f>
        <v>32.925998999999997</v>
      </c>
      <c r="U92" s="199"/>
      <c r="V92" s="213"/>
      <c r="W92" s="214">
        <f>SUM(W86:W91)</f>
        <v>0</v>
      </c>
      <c r="Y92" s="41"/>
      <c r="Z92" s="5">
        <f>SUM(Z86:Z91)</f>
        <v>178.28586299179162</v>
      </c>
    </row>
    <row r="93" spans="1:26" ht="15.75" thickBot="1" x14ac:dyDescent="0.3">
      <c r="A93" s="42"/>
      <c r="B93" s="135"/>
      <c r="C93" s="135"/>
      <c r="D93" s="135"/>
      <c r="E93" s="87"/>
      <c r="F93" s="25"/>
      <c r="G93" s="42"/>
      <c r="H93" s="25"/>
      <c r="I93" s="42"/>
      <c r="J93" s="25"/>
      <c r="K93" s="42"/>
      <c r="L93" s="25"/>
      <c r="M93" s="42"/>
      <c r="N93" s="25"/>
      <c r="O93" s="42"/>
      <c r="P93" s="42"/>
      <c r="Q93" s="25"/>
      <c r="R93" s="42"/>
      <c r="S93" s="42"/>
      <c r="T93" s="25"/>
      <c r="U93" s="199"/>
      <c r="V93" s="198"/>
      <c r="W93" s="237"/>
      <c r="Y93" s="42"/>
      <c r="Z93" s="25"/>
    </row>
    <row r="94" spans="1:26" ht="15.75" thickBot="1" x14ac:dyDescent="0.3">
      <c r="A94" s="42"/>
      <c r="B94" s="369" t="s">
        <v>107</v>
      </c>
      <c r="C94" s="370"/>
      <c r="D94" s="370"/>
      <c r="E94" s="370"/>
      <c r="F94" s="370"/>
      <c r="G94" s="370"/>
      <c r="H94" s="370"/>
      <c r="I94" s="370"/>
      <c r="J94" s="370"/>
      <c r="K94" s="370"/>
      <c r="L94" s="370"/>
      <c r="M94" s="370"/>
      <c r="N94" s="371"/>
      <c r="O94" s="42"/>
      <c r="P94" s="42"/>
      <c r="Q94" s="42"/>
      <c r="R94" s="42"/>
      <c r="S94" s="42"/>
      <c r="T94" s="42"/>
      <c r="U94" s="199"/>
      <c r="V94" s="198"/>
      <c r="W94" s="198"/>
      <c r="Y94" s="42"/>
      <c r="Z94" s="42"/>
    </row>
    <row r="95" spans="1:26" ht="15.75" thickBot="1" x14ac:dyDescent="0.3">
      <c r="A95" s="42"/>
      <c r="B95" s="65" t="s">
        <v>49</v>
      </c>
      <c r="C95" s="369" t="s">
        <v>108</v>
      </c>
      <c r="D95" s="371"/>
      <c r="E95" s="134" t="s">
        <v>13</v>
      </c>
      <c r="F95" s="133" t="s">
        <v>35</v>
      </c>
      <c r="G95" s="4" t="s">
        <v>13</v>
      </c>
      <c r="H95" s="4" t="s">
        <v>35</v>
      </c>
      <c r="I95" s="4" t="s">
        <v>13</v>
      </c>
      <c r="J95" s="138" t="s">
        <v>35</v>
      </c>
      <c r="K95" s="4" t="s">
        <v>13</v>
      </c>
      <c r="L95" s="138" t="s">
        <v>35</v>
      </c>
      <c r="M95" s="4" t="s">
        <v>13</v>
      </c>
      <c r="N95" s="138" t="s">
        <v>35</v>
      </c>
      <c r="O95" s="42"/>
      <c r="P95" s="4" t="s">
        <v>13</v>
      </c>
      <c r="Q95" s="138" t="s">
        <v>35</v>
      </c>
      <c r="R95" s="42"/>
      <c r="S95" s="4" t="s">
        <v>13</v>
      </c>
      <c r="T95" s="138" t="s">
        <v>35</v>
      </c>
      <c r="U95" s="199"/>
      <c r="V95" s="234" t="s">
        <v>13</v>
      </c>
      <c r="W95" s="238" t="s">
        <v>35</v>
      </c>
      <c r="Y95" s="4" t="s">
        <v>13</v>
      </c>
      <c r="Z95" s="138" t="s">
        <v>35</v>
      </c>
    </row>
    <row r="96" spans="1:26" ht="13.5" thickBot="1" x14ac:dyDescent="0.25">
      <c r="A96" s="42"/>
      <c r="B96" s="70" t="s">
        <v>1</v>
      </c>
      <c r="C96" s="468" t="s">
        <v>109</v>
      </c>
      <c r="D96" s="469"/>
      <c r="E96" s="49"/>
      <c r="F96" s="50">
        <f>ROUND($F$37*E96,2)</f>
        <v>0</v>
      </c>
      <c r="G96" s="49"/>
      <c r="H96" s="101">
        <f>ROUND($H$37*G96,2)</f>
        <v>0</v>
      </c>
      <c r="I96" s="57"/>
      <c r="J96" s="50">
        <f>ROUND(J37*I96,2)</f>
        <v>0</v>
      </c>
      <c r="K96" s="57"/>
      <c r="L96" s="50">
        <f>ROUND(L37*K96,2)</f>
        <v>0</v>
      </c>
      <c r="M96" s="57"/>
      <c r="N96" s="50">
        <f>ROUND(N37*M96,2)</f>
        <v>0</v>
      </c>
      <c r="O96" s="42"/>
      <c r="P96" s="57"/>
      <c r="Q96" s="50">
        <f>ROUND(Q37*P96,2)</f>
        <v>0</v>
      </c>
      <c r="R96" s="42"/>
      <c r="S96" s="57"/>
      <c r="T96" s="50">
        <f>ROUND(T37*S96,2)</f>
        <v>0</v>
      </c>
      <c r="U96" s="199"/>
      <c r="V96" s="247"/>
      <c r="W96" s="248">
        <f>ROUND(W37*V96,2)</f>
        <v>0</v>
      </c>
      <c r="Y96" s="57"/>
      <c r="Z96" s="50">
        <f>ROUND(Z37*Y96,2)</f>
        <v>0</v>
      </c>
    </row>
    <row r="97" spans="1:26" ht="13.5" customHeight="1" thickBot="1" x14ac:dyDescent="0.3">
      <c r="A97" s="42"/>
      <c r="B97" s="369" t="s">
        <v>16</v>
      </c>
      <c r="C97" s="370"/>
      <c r="D97" s="370"/>
      <c r="E97" s="371"/>
      <c r="F97" s="5">
        <f>F96</f>
        <v>0</v>
      </c>
      <c r="G97" s="41"/>
      <c r="H97" s="12">
        <f>H96</f>
        <v>0</v>
      </c>
      <c r="I97" s="41"/>
      <c r="J97" s="5">
        <f>J96</f>
        <v>0</v>
      </c>
      <c r="K97" s="41"/>
      <c r="L97" s="5">
        <f>L96</f>
        <v>0</v>
      </c>
      <c r="M97" s="41"/>
      <c r="N97" s="5">
        <f>N96</f>
        <v>0</v>
      </c>
      <c r="O97" s="42"/>
      <c r="P97" s="41"/>
      <c r="Q97" s="5">
        <f>Q96</f>
        <v>0</v>
      </c>
      <c r="R97" s="42"/>
      <c r="S97" s="41"/>
      <c r="T97" s="5">
        <f>T96</f>
        <v>0</v>
      </c>
      <c r="U97" s="199"/>
      <c r="V97" s="213"/>
      <c r="W97" s="214">
        <f>W96</f>
        <v>0</v>
      </c>
      <c r="Y97" s="41"/>
      <c r="Z97" s="5">
        <f>Z96</f>
        <v>0</v>
      </c>
    </row>
    <row r="98" spans="1:26" ht="13.5" customHeight="1" thickBot="1" x14ac:dyDescent="0.3">
      <c r="A98" s="42"/>
      <c r="B98" s="135"/>
      <c r="C98" s="135"/>
      <c r="D98" s="135"/>
      <c r="E98" s="135"/>
      <c r="F98" s="25"/>
      <c r="G98" s="42"/>
      <c r="H98" s="25"/>
      <c r="I98" s="42"/>
      <c r="J98" s="25"/>
      <c r="K98" s="42"/>
      <c r="L98" s="25"/>
      <c r="M98" s="42"/>
      <c r="N98" s="25"/>
      <c r="O98" s="42"/>
      <c r="P98" s="42"/>
      <c r="Q98" s="25"/>
      <c r="R98" s="42"/>
      <c r="S98" s="42"/>
      <c r="T98" s="25"/>
      <c r="U98" s="199"/>
      <c r="V98" s="198"/>
      <c r="W98" s="237"/>
      <c r="Y98" s="42"/>
      <c r="Z98" s="25"/>
    </row>
    <row r="99" spans="1:26" ht="15.75" thickBot="1" x14ac:dyDescent="0.3">
      <c r="A99" s="42"/>
      <c r="B99" s="369" t="s">
        <v>110</v>
      </c>
      <c r="C99" s="370"/>
      <c r="D99" s="370"/>
      <c r="E99" s="370"/>
      <c r="F99" s="370"/>
      <c r="G99" s="370"/>
      <c r="H99" s="370"/>
      <c r="I99" s="370"/>
      <c r="J99" s="370"/>
      <c r="K99" s="370"/>
      <c r="L99" s="370"/>
      <c r="M99" s="370"/>
      <c r="N99" s="371"/>
      <c r="O99" s="42"/>
      <c r="P99" s="42"/>
      <c r="Q99" s="42"/>
      <c r="R99" s="42"/>
      <c r="S99" s="42"/>
      <c r="T99" s="42"/>
      <c r="U99" s="199"/>
      <c r="V99" s="198"/>
      <c r="W99" s="198"/>
      <c r="Y99" s="42"/>
      <c r="Z99" s="42"/>
    </row>
    <row r="100" spans="1:26" ht="15.75" thickBot="1" x14ac:dyDescent="0.3">
      <c r="A100" s="42"/>
      <c r="B100" s="139">
        <v>4</v>
      </c>
      <c r="C100" s="370" t="s">
        <v>47</v>
      </c>
      <c r="D100" s="371"/>
      <c r="E100" s="134" t="s">
        <v>13</v>
      </c>
      <c r="F100" s="136" t="s">
        <v>35</v>
      </c>
      <c r="G100" s="4" t="s">
        <v>13</v>
      </c>
      <c r="H100" s="4" t="s">
        <v>35</v>
      </c>
      <c r="I100" s="4" t="s">
        <v>13</v>
      </c>
      <c r="J100" s="138" t="s">
        <v>35</v>
      </c>
      <c r="K100" s="4" t="s">
        <v>13</v>
      </c>
      <c r="L100" s="138" t="s">
        <v>35</v>
      </c>
      <c r="M100" s="4" t="s">
        <v>13</v>
      </c>
      <c r="N100" s="138" t="s">
        <v>35</v>
      </c>
      <c r="O100" s="42"/>
      <c r="P100" s="4" t="s">
        <v>13</v>
      </c>
      <c r="Q100" s="138" t="s">
        <v>35</v>
      </c>
      <c r="R100" s="42"/>
      <c r="S100" s="4" t="s">
        <v>13</v>
      </c>
      <c r="T100" s="138" t="s">
        <v>35</v>
      </c>
      <c r="U100" s="199"/>
      <c r="V100" s="234" t="s">
        <v>13</v>
      </c>
      <c r="W100" s="238" t="s">
        <v>35</v>
      </c>
      <c r="Y100" s="4" t="s">
        <v>13</v>
      </c>
      <c r="Z100" s="138" t="s">
        <v>35</v>
      </c>
    </row>
    <row r="101" spans="1:26" x14ac:dyDescent="0.2">
      <c r="A101" s="42"/>
      <c r="B101" s="70" t="s">
        <v>48</v>
      </c>
      <c r="C101" s="401" t="s">
        <v>46</v>
      </c>
      <c r="D101" s="461"/>
      <c r="E101" s="145">
        <f>E92</f>
        <v>1.0346666666666665E-2</v>
      </c>
      <c r="F101" s="59">
        <f>F92</f>
        <v>29.492655999999997</v>
      </c>
      <c r="G101" s="49"/>
      <c r="H101" s="59">
        <f>H92</f>
        <v>30.377399466666667</v>
      </c>
      <c r="I101" s="49"/>
      <c r="J101" s="46">
        <f>J92</f>
        <v>32.959410133333328</v>
      </c>
      <c r="K101" s="49"/>
      <c r="L101" s="46">
        <f>L92</f>
        <v>34.887408000000001</v>
      </c>
      <c r="M101" s="49"/>
      <c r="N101" s="46">
        <f>N92</f>
        <v>36.631649066666668</v>
      </c>
      <c r="O101" s="42"/>
      <c r="P101" s="49"/>
      <c r="Q101" s="46">
        <f>Q92</f>
        <v>0</v>
      </c>
      <c r="R101" s="42"/>
      <c r="S101" s="49"/>
      <c r="T101" s="46">
        <f>T92</f>
        <v>32.925998999999997</v>
      </c>
      <c r="U101" s="199"/>
      <c r="V101" s="222"/>
      <c r="W101" s="223">
        <f>W92</f>
        <v>0</v>
      </c>
      <c r="Y101" s="49"/>
      <c r="Z101" s="46">
        <f>Z92</f>
        <v>178.28586299179162</v>
      </c>
    </row>
    <row r="102" spans="1:26" ht="13.5" thickBot="1" x14ac:dyDescent="0.25">
      <c r="A102" s="42"/>
      <c r="B102" s="71" t="s">
        <v>49</v>
      </c>
      <c r="C102" s="383" t="s">
        <v>108</v>
      </c>
      <c r="D102" s="451"/>
      <c r="E102" s="51"/>
      <c r="F102" s="59">
        <f>F97</f>
        <v>0</v>
      </c>
      <c r="G102" s="51"/>
      <c r="H102" s="59">
        <f>H97</f>
        <v>0</v>
      </c>
      <c r="I102" s="51"/>
      <c r="J102" s="58">
        <f>J97</f>
        <v>0</v>
      </c>
      <c r="K102" s="51"/>
      <c r="L102" s="58">
        <f>L97</f>
        <v>0</v>
      </c>
      <c r="M102" s="51"/>
      <c r="N102" s="58">
        <f>N97</f>
        <v>0</v>
      </c>
      <c r="O102" s="42"/>
      <c r="P102" s="51"/>
      <c r="Q102" s="58">
        <f>Q97</f>
        <v>0</v>
      </c>
      <c r="R102" s="42"/>
      <c r="S102" s="51"/>
      <c r="T102" s="58">
        <f>T97</f>
        <v>0</v>
      </c>
      <c r="U102" s="199"/>
      <c r="V102" s="224"/>
      <c r="W102" s="246">
        <f>W97</f>
        <v>0</v>
      </c>
      <c r="Y102" s="51"/>
      <c r="Z102" s="58">
        <f>Z97</f>
        <v>0</v>
      </c>
    </row>
    <row r="103" spans="1:26" ht="15.75" thickBot="1" x14ac:dyDescent="0.3">
      <c r="A103" s="42"/>
      <c r="B103" s="369" t="s">
        <v>16</v>
      </c>
      <c r="C103" s="370"/>
      <c r="D103" s="371"/>
      <c r="E103" s="100"/>
      <c r="F103" s="5">
        <f>SUM(F101:F102)</f>
        <v>29.492655999999997</v>
      </c>
      <c r="G103" s="60"/>
      <c r="H103" s="13">
        <f>SUM(H101:H102)</f>
        <v>30.377399466666667</v>
      </c>
      <c r="I103" s="41"/>
      <c r="J103" s="5">
        <f>SUM(J101:J102)</f>
        <v>32.959410133333328</v>
      </c>
      <c r="K103" s="41"/>
      <c r="L103" s="5">
        <f>SUM(L101:L102)</f>
        <v>34.887408000000001</v>
      </c>
      <c r="M103" s="41"/>
      <c r="N103" s="5">
        <f>SUM(N101:N102)</f>
        <v>36.631649066666668</v>
      </c>
      <c r="O103" s="42"/>
      <c r="P103" s="41"/>
      <c r="Q103" s="5">
        <f>SUM(Q101:Q102)</f>
        <v>0</v>
      </c>
      <c r="R103" s="42"/>
      <c r="S103" s="41"/>
      <c r="T103" s="5">
        <f>SUM(T101:T102)</f>
        <v>32.925998999999997</v>
      </c>
      <c r="U103" s="199"/>
      <c r="V103" s="213"/>
      <c r="W103" s="214">
        <f>SUM(W101:W102)</f>
        <v>0</v>
      </c>
      <c r="Y103" s="41"/>
      <c r="Z103" s="5">
        <f>SUM(Z101:Z102)</f>
        <v>178.28586299179162</v>
      </c>
    </row>
    <row r="104" spans="1:26" ht="15.75" thickBot="1" x14ac:dyDescent="0.3">
      <c r="A104" s="42"/>
      <c r="B104" s="42"/>
      <c r="C104" s="87"/>
      <c r="D104" s="87"/>
      <c r="E104" s="87"/>
      <c r="F104" s="25"/>
      <c r="G104" s="42"/>
      <c r="H104" s="25"/>
      <c r="I104" s="42"/>
      <c r="J104" s="25"/>
      <c r="K104" s="42"/>
      <c r="L104" s="25"/>
      <c r="M104" s="42"/>
      <c r="N104" s="25"/>
      <c r="O104" s="42"/>
      <c r="P104" s="42"/>
      <c r="Q104" s="25"/>
      <c r="R104" s="42"/>
      <c r="S104" s="42"/>
      <c r="T104" s="25"/>
      <c r="U104" s="199"/>
      <c r="V104" s="198"/>
      <c r="W104" s="237"/>
      <c r="Y104" s="42"/>
      <c r="Z104" s="25"/>
    </row>
    <row r="105" spans="1:26" ht="15.75" thickBot="1" x14ac:dyDescent="0.3">
      <c r="A105" s="42"/>
      <c r="B105" s="369" t="s">
        <v>111</v>
      </c>
      <c r="C105" s="370"/>
      <c r="D105" s="370"/>
      <c r="E105" s="370"/>
      <c r="F105" s="370"/>
      <c r="G105" s="370"/>
      <c r="H105" s="370"/>
      <c r="I105" s="370"/>
      <c r="J105" s="370"/>
      <c r="K105" s="370"/>
      <c r="L105" s="370"/>
      <c r="M105" s="370"/>
      <c r="N105" s="371"/>
      <c r="O105" s="42"/>
      <c r="P105" s="42"/>
      <c r="Q105" s="42"/>
      <c r="R105" s="42"/>
      <c r="S105" s="42"/>
      <c r="T105" s="42"/>
      <c r="U105" s="199"/>
      <c r="V105" s="198"/>
      <c r="W105" s="198"/>
      <c r="Y105" s="42"/>
      <c r="Z105" s="42"/>
    </row>
    <row r="106" spans="1:26" ht="15.75" customHeight="1" thickBot="1" x14ac:dyDescent="0.3">
      <c r="A106" s="42"/>
      <c r="B106" s="65">
        <v>5</v>
      </c>
      <c r="C106" s="460" t="s">
        <v>15</v>
      </c>
      <c r="D106" s="457"/>
      <c r="E106" s="28" t="s">
        <v>13</v>
      </c>
      <c r="F106" s="30" t="s">
        <v>35</v>
      </c>
      <c r="G106" s="95" t="s">
        <v>13</v>
      </c>
      <c r="H106" s="95" t="s">
        <v>35</v>
      </c>
      <c r="I106" s="95" t="s">
        <v>13</v>
      </c>
      <c r="J106" s="31" t="s">
        <v>35</v>
      </c>
      <c r="K106" s="95" t="s">
        <v>13</v>
      </c>
      <c r="L106" s="31" t="s">
        <v>35</v>
      </c>
      <c r="M106" s="95" t="s">
        <v>13</v>
      </c>
      <c r="N106" s="31" t="s">
        <v>35</v>
      </c>
      <c r="O106" s="42"/>
      <c r="P106" s="95" t="s">
        <v>13</v>
      </c>
      <c r="Q106" s="31" t="s">
        <v>35</v>
      </c>
      <c r="R106" s="42"/>
      <c r="S106" s="95" t="s">
        <v>13</v>
      </c>
      <c r="T106" s="31" t="s">
        <v>35</v>
      </c>
      <c r="U106" s="199"/>
      <c r="V106" s="243" t="s">
        <v>13</v>
      </c>
      <c r="W106" s="244" t="s">
        <v>35</v>
      </c>
      <c r="Y106" s="95" t="s">
        <v>13</v>
      </c>
      <c r="Z106" s="31" t="s">
        <v>35</v>
      </c>
    </row>
    <row r="107" spans="1:26" x14ac:dyDescent="0.2">
      <c r="A107" s="42"/>
      <c r="B107" s="70" t="s">
        <v>1</v>
      </c>
      <c r="C107" s="401" t="s">
        <v>38</v>
      </c>
      <c r="D107" s="461"/>
      <c r="E107" s="49"/>
      <c r="F107" s="46">
        <f>Uniforme!$E$12</f>
        <v>48.333333333333336</v>
      </c>
      <c r="G107" s="49"/>
      <c r="H107" s="46">
        <f>Uniforme!$E$12</f>
        <v>48.333333333333336</v>
      </c>
      <c r="I107" s="49"/>
      <c r="J107" s="46">
        <f>Uniforme!$E$12</f>
        <v>48.333333333333336</v>
      </c>
      <c r="K107" s="49"/>
      <c r="L107" s="46">
        <f>Uniforme!$E$12</f>
        <v>48.333333333333336</v>
      </c>
      <c r="M107" s="49"/>
      <c r="N107" s="46">
        <f>Uniforme!$E$12</f>
        <v>48.333333333333336</v>
      </c>
      <c r="O107" s="42"/>
      <c r="P107" s="49"/>
      <c r="Q107" s="46">
        <f>Uniforme!$E$12</f>
        <v>48.333333333333336</v>
      </c>
      <c r="R107" s="42"/>
      <c r="S107" s="49"/>
      <c r="T107" s="46"/>
      <c r="U107" s="199"/>
      <c r="V107" s="222"/>
      <c r="W107" s="223">
        <v>0</v>
      </c>
      <c r="Y107" s="49"/>
      <c r="Z107" s="46"/>
    </row>
    <row r="108" spans="1:26" x14ac:dyDescent="0.2">
      <c r="A108" s="42"/>
      <c r="B108" s="71" t="s">
        <v>2</v>
      </c>
      <c r="C108" s="378" t="s">
        <v>39</v>
      </c>
      <c r="D108" s="446"/>
      <c r="E108" s="51"/>
      <c r="F108" s="82">
        <f>Materiais!$H$21</f>
        <v>6.8285666666666662</v>
      </c>
      <c r="G108" s="51"/>
      <c r="H108" s="82">
        <f>Materiais!$H$21</f>
        <v>6.8285666666666662</v>
      </c>
      <c r="I108" s="51"/>
      <c r="J108" s="82">
        <f>Materiais!$H$21</f>
        <v>6.8285666666666662</v>
      </c>
      <c r="K108" s="51"/>
      <c r="L108" s="82">
        <f>Materiais!$H$21</f>
        <v>6.8285666666666662</v>
      </c>
      <c r="M108" s="51"/>
      <c r="N108" s="82">
        <f>Materiais!$H$21</f>
        <v>6.8285666666666662</v>
      </c>
      <c r="O108" s="42"/>
      <c r="P108" s="51"/>
      <c r="Q108" s="82">
        <f>Materiais!$H$21</f>
        <v>6.8285666666666662</v>
      </c>
      <c r="R108" s="42"/>
      <c r="S108" s="51"/>
      <c r="T108" s="82"/>
      <c r="U108" s="199"/>
      <c r="V108" s="224"/>
      <c r="W108" s="249">
        <v>0</v>
      </c>
      <c r="Y108" s="51"/>
      <c r="Z108" s="82"/>
    </row>
    <row r="109" spans="1:26" x14ac:dyDescent="0.2">
      <c r="A109" s="42"/>
      <c r="B109" s="71" t="s">
        <v>4</v>
      </c>
      <c r="C109" s="378" t="s">
        <v>220</v>
      </c>
      <c r="D109" s="446"/>
      <c r="E109" s="51"/>
      <c r="F109" s="52">
        <f>Equipamento!$I$7</f>
        <v>1.0256410256410258</v>
      </c>
      <c r="G109" s="51"/>
      <c r="H109" s="52">
        <f>Equipamento!$I$7</f>
        <v>1.0256410256410258</v>
      </c>
      <c r="I109" s="51"/>
      <c r="J109" s="52">
        <f>Equipamento!$I$7</f>
        <v>1.0256410256410258</v>
      </c>
      <c r="K109" s="51"/>
      <c r="L109" s="52">
        <f>Equipamento!$I$7</f>
        <v>1.0256410256410258</v>
      </c>
      <c r="M109" s="51"/>
      <c r="N109" s="52">
        <f>Equipamento!$I$7</f>
        <v>1.0256410256410258</v>
      </c>
      <c r="O109" s="42"/>
      <c r="P109" s="51"/>
      <c r="Q109" s="52">
        <f>Equipamento!$I$7</f>
        <v>1.0256410256410258</v>
      </c>
      <c r="R109" s="42"/>
      <c r="S109" s="51"/>
      <c r="T109" s="52"/>
      <c r="U109" s="199"/>
      <c r="V109" s="224"/>
      <c r="W109" s="227">
        <v>0</v>
      </c>
      <c r="Y109" s="51"/>
      <c r="Z109" s="52"/>
    </row>
    <row r="110" spans="1:26" ht="13.5" thickBot="1" x14ac:dyDescent="0.25">
      <c r="A110" s="42"/>
      <c r="B110" s="71" t="s">
        <v>5</v>
      </c>
      <c r="C110" s="383" t="s">
        <v>37</v>
      </c>
      <c r="D110" s="451"/>
      <c r="E110" s="34"/>
      <c r="F110" s="98"/>
      <c r="G110" s="34"/>
      <c r="H110" s="54"/>
      <c r="I110" s="51"/>
      <c r="J110" s="52"/>
      <c r="K110" s="51"/>
      <c r="L110" s="52"/>
      <c r="M110" s="51"/>
      <c r="N110" s="52"/>
      <c r="O110" s="42"/>
      <c r="P110" s="51"/>
      <c r="Q110" s="52"/>
      <c r="R110" s="42"/>
      <c r="S110" s="51"/>
      <c r="T110" s="52"/>
      <c r="U110" s="199"/>
      <c r="V110" s="224"/>
      <c r="W110" s="227"/>
      <c r="Y110" s="51"/>
      <c r="Z110" s="52"/>
    </row>
    <row r="111" spans="1:26" ht="15.75" thickBot="1" x14ac:dyDescent="0.3">
      <c r="A111" s="42"/>
      <c r="B111" s="41"/>
      <c r="C111" s="438" t="s">
        <v>16</v>
      </c>
      <c r="D111" s="439"/>
      <c r="E111" s="440"/>
      <c r="F111" s="5">
        <f>SUM(F107:F110)</f>
        <v>56.187541025641032</v>
      </c>
      <c r="G111" s="41"/>
      <c r="H111" s="5">
        <f>SUM(H107:H110)</f>
        <v>56.187541025641032</v>
      </c>
      <c r="I111" s="41"/>
      <c r="J111" s="5">
        <f>SUM(J107:J110)</f>
        <v>56.187541025641032</v>
      </c>
      <c r="K111" s="41"/>
      <c r="L111" s="5">
        <f>SUM(L107:L110)</f>
        <v>56.187541025641032</v>
      </c>
      <c r="M111" s="41"/>
      <c r="N111" s="5">
        <f>SUM(N107:N110)</f>
        <v>56.187541025641032</v>
      </c>
      <c r="O111" s="42"/>
      <c r="P111" s="41"/>
      <c r="Q111" s="5">
        <f>SUM(Q107:Q110)</f>
        <v>56.187541025641032</v>
      </c>
      <c r="R111" s="42"/>
      <c r="S111" s="41"/>
      <c r="T111" s="5">
        <f>SUM(T107:T110)</f>
        <v>0</v>
      </c>
      <c r="U111" s="199"/>
      <c r="V111" s="213"/>
      <c r="W111" s="214">
        <f>SUM(W107:W110)</f>
        <v>0</v>
      </c>
      <c r="Y111" s="41"/>
      <c r="Z111" s="5">
        <f>SUM(Z107:Z110)</f>
        <v>0</v>
      </c>
    </row>
    <row r="112" spans="1:26" ht="15.75" thickBot="1" x14ac:dyDescent="0.3">
      <c r="A112" s="42"/>
      <c r="B112" s="42"/>
      <c r="C112" s="87"/>
      <c r="D112" s="87"/>
      <c r="E112" s="87"/>
      <c r="F112" s="25"/>
      <c r="G112" s="42"/>
      <c r="H112" s="25"/>
      <c r="I112" s="42"/>
      <c r="J112" s="25"/>
      <c r="K112" s="42"/>
      <c r="L112" s="25"/>
      <c r="M112" s="42"/>
      <c r="N112" s="25"/>
      <c r="O112" s="42"/>
      <c r="P112" s="42"/>
      <c r="Q112" s="25"/>
      <c r="R112" s="42"/>
      <c r="S112" s="42"/>
      <c r="T112" s="25"/>
      <c r="U112" s="199"/>
      <c r="V112" s="198"/>
      <c r="W112" s="237"/>
      <c r="Y112" s="42"/>
      <c r="Z112" s="25"/>
    </row>
    <row r="113" spans="1:26" ht="15.75" thickBot="1" x14ac:dyDescent="0.3">
      <c r="A113" s="42"/>
      <c r="B113" s="369" t="s">
        <v>124</v>
      </c>
      <c r="C113" s="370"/>
      <c r="D113" s="370"/>
      <c r="E113" s="370"/>
      <c r="F113" s="370"/>
      <c r="G113" s="370"/>
      <c r="H113" s="370"/>
      <c r="I113" s="370"/>
      <c r="J113" s="370"/>
      <c r="K113" s="370"/>
      <c r="L113" s="370"/>
      <c r="M113" s="370"/>
      <c r="N113" s="371"/>
      <c r="O113" s="42"/>
      <c r="P113" s="42"/>
      <c r="Q113" s="42"/>
      <c r="R113" s="42"/>
      <c r="S113" s="42"/>
      <c r="T113" s="42"/>
      <c r="U113" s="199"/>
      <c r="V113" s="198"/>
      <c r="W113" s="198"/>
      <c r="Y113" s="42"/>
      <c r="Z113" s="42"/>
    </row>
    <row r="114" spans="1:26" ht="15.75" customHeight="1" thickBot="1" x14ac:dyDescent="0.3">
      <c r="A114" s="42"/>
      <c r="B114" s="65">
        <v>6</v>
      </c>
      <c r="C114" s="460" t="s">
        <v>59</v>
      </c>
      <c r="D114" s="457"/>
      <c r="E114" s="28" t="s">
        <v>13</v>
      </c>
      <c r="F114" s="30" t="s">
        <v>35</v>
      </c>
      <c r="G114" s="65" t="s">
        <v>13</v>
      </c>
      <c r="H114" s="66" t="s">
        <v>35</v>
      </c>
      <c r="I114" s="65" t="s">
        <v>13</v>
      </c>
      <c r="J114" s="66" t="s">
        <v>35</v>
      </c>
      <c r="K114" s="65" t="s">
        <v>13</v>
      </c>
      <c r="L114" s="66" t="s">
        <v>35</v>
      </c>
      <c r="M114" s="65" t="s">
        <v>13</v>
      </c>
      <c r="N114" s="66" t="s">
        <v>35</v>
      </c>
      <c r="O114" s="42"/>
      <c r="P114" s="65" t="s">
        <v>13</v>
      </c>
      <c r="Q114" s="66" t="s">
        <v>35</v>
      </c>
      <c r="R114" s="42"/>
      <c r="S114" s="65" t="s">
        <v>13</v>
      </c>
      <c r="T114" s="66" t="s">
        <v>35</v>
      </c>
      <c r="U114" s="199"/>
      <c r="V114" s="250" t="s">
        <v>13</v>
      </c>
      <c r="W114" s="215" t="s">
        <v>35</v>
      </c>
      <c r="Y114" s="65" t="s">
        <v>13</v>
      </c>
      <c r="Z114" s="66" t="s">
        <v>35</v>
      </c>
    </row>
    <row r="115" spans="1:26" x14ac:dyDescent="0.2">
      <c r="A115" s="42"/>
      <c r="B115" s="70" t="s">
        <v>1</v>
      </c>
      <c r="C115" s="401" t="s">
        <v>50</v>
      </c>
      <c r="D115" s="461"/>
      <c r="E115" s="57">
        <v>7.4000000000000003E-3</v>
      </c>
      <c r="F115" s="47">
        <f>F130*E115</f>
        <v>40.078622000000003</v>
      </c>
      <c r="G115" s="57">
        <v>7.4000000000000003E-3</v>
      </c>
      <c r="H115" s="47">
        <f>H130*G115</f>
        <v>41.277536063859635</v>
      </c>
      <c r="I115" s="57">
        <v>7.4000000000000003E-3</v>
      </c>
      <c r="J115" s="47">
        <f>J130*I115</f>
        <v>44.640102970284765</v>
      </c>
      <c r="K115" s="57">
        <v>7.4000000000000003E-3</v>
      </c>
      <c r="L115" s="47">
        <f>L130*K115</f>
        <v>47.150509958218485</v>
      </c>
      <c r="M115" s="57">
        <v>7.4000000000000003E-3</v>
      </c>
      <c r="N115" s="47">
        <f>N130*M115</f>
        <v>49.421358770249547</v>
      </c>
      <c r="O115" s="42"/>
      <c r="P115" s="57">
        <v>7.4000000000000003E-3</v>
      </c>
      <c r="Q115" s="47">
        <f>Q130*P115</f>
        <v>39.233621853589739</v>
      </c>
      <c r="R115" s="42"/>
      <c r="S115" s="57">
        <v>7.4000000000000003E-3</v>
      </c>
      <c r="T115" s="47">
        <f>T130*S115</f>
        <v>47.506976720600001</v>
      </c>
      <c r="U115" s="199"/>
      <c r="V115" s="247">
        <v>7.4000000000000003E-3</v>
      </c>
      <c r="W115" s="251">
        <f>W130*V115</f>
        <v>82.405409160980497</v>
      </c>
      <c r="Y115" s="57"/>
      <c r="Z115" s="47">
        <f>Z130*Y115</f>
        <v>0</v>
      </c>
    </row>
    <row r="116" spans="1:26" x14ac:dyDescent="0.2">
      <c r="A116" s="42"/>
      <c r="B116" s="80" t="s">
        <v>2</v>
      </c>
      <c r="C116" s="378" t="s">
        <v>0</v>
      </c>
      <c r="D116" s="446"/>
      <c r="E116" s="67">
        <v>5.0000000000000001E-3</v>
      </c>
      <c r="F116" s="63">
        <f>(F130+F115)*E116</f>
        <v>27.28054311</v>
      </c>
      <c r="G116" s="67">
        <v>5.0000000000000001E-3</v>
      </c>
      <c r="H116" s="63">
        <f>(H130+H115)*G116</f>
        <v>28.096614750494727</v>
      </c>
      <c r="I116" s="67">
        <v>5.0000000000000001E-3</v>
      </c>
      <c r="J116" s="63">
        <f>(J130+J115)*I116</f>
        <v>30.385432251530318</v>
      </c>
      <c r="K116" s="67">
        <v>5.0000000000000001E-3</v>
      </c>
      <c r="L116" s="63">
        <f>(L130+L115)*K116</f>
        <v>32.094205224263035</v>
      </c>
      <c r="M116" s="67">
        <v>5.0000000000000001E-3</v>
      </c>
      <c r="N116" s="63">
        <f>(N130+N115)*M116</f>
        <v>33.63991677374959</v>
      </c>
      <c r="O116" s="42"/>
      <c r="P116" s="67">
        <v>5.0000000000000001E-3</v>
      </c>
      <c r="Q116" s="63">
        <f>(Q130+Q115)*P116</f>
        <v>26.705372064396151</v>
      </c>
      <c r="R116" s="42"/>
      <c r="S116" s="67">
        <v>5.0000000000000001E-3</v>
      </c>
      <c r="T116" s="63">
        <f>(T130+T115)*S116</f>
        <v>32.336843478602994</v>
      </c>
      <c r="U116" s="199"/>
      <c r="V116" s="299">
        <v>5.0000000000000001E-3</v>
      </c>
      <c r="W116" s="253">
        <f>(W130+W115)*V116</f>
        <v>56.091357559980906</v>
      </c>
      <c r="Y116" s="67"/>
      <c r="Z116" s="63">
        <f>(Z130+Z115)*Y116</f>
        <v>0</v>
      </c>
    </row>
    <row r="117" spans="1:26" x14ac:dyDescent="0.2">
      <c r="A117" s="42"/>
      <c r="B117" s="71" t="s">
        <v>4</v>
      </c>
      <c r="C117" s="378" t="s">
        <v>14</v>
      </c>
      <c r="D117" s="446"/>
      <c r="E117" s="27">
        <f t="shared" ref="E117:N117" si="6">SUM(E118:E120)</f>
        <v>8.6499999999999994E-2</v>
      </c>
      <c r="F117" s="62">
        <f t="shared" si="6"/>
        <v>519.22576499999991</v>
      </c>
      <c r="G117" s="27">
        <f t="shared" si="6"/>
        <v>8.6499999999999994E-2</v>
      </c>
      <c r="H117" s="62">
        <f t="shared" si="6"/>
        <v>534.75956999999994</v>
      </c>
      <c r="I117" s="27">
        <f>SUM(I118:I120)</f>
        <v>8.6499999999999994E-2</v>
      </c>
      <c r="J117" s="62">
        <f>SUM(J118:J120)</f>
        <v>614.12133500000004</v>
      </c>
      <c r="K117" s="27">
        <f t="shared" ref="K117:L117" si="7">SUM(K118:K120)</f>
        <v>8.6499999999999994E-2</v>
      </c>
      <c r="L117" s="62">
        <f t="shared" si="7"/>
        <v>627.84496999999999</v>
      </c>
      <c r="M117" s="27">
        <f t="shared" si="6"/>
        <v>8.6499999999999994E-2</v>
      </c>
      <c r="N117" s="62">
        <f t="shared" si="6"/>
        <v>640.25898499999994</v>
      </c>
      <c r="O117" s="42"/>
      <c r="P117" s="27">
        <f>SUM(P118:P120)</f>
        <v>8.6499999999999994E-2</v>
      </c>
      <c r="Q117" s="62">
        <f>SUM(Q118:Q120)</f>
        <v>584.56619000000001</v>
      </c>
      <c r="R117" s="42"/>
      <c r="S117" s="27">
        <f>SUM(S118:S120)</f>
        <v>8.6499999999999994E-2</v>
      </c>
      <c r="T117" s="62">
        <f>SUM(T118:T120)</f>
        <v>615.463705</v>
      </c>
      <c r="U117" s="199"/>
      <c r="V117" s="254">
        <f>SUM(V118:V120)</f>
        <v>8.6499999999999994E-2</v>
      </c>
      <c r="W117" s="255">
        <f>SUM(W118:W120)</f>
        <v>1067.5808099999999</v>
      </c>
      <c r="Y117" s="27">
        <f>SUM(Y118:Y120)</f>
        <v>0</v>
      </c>
      <c r="Z117" s="62">
        <f>SUM(Z118:Z120)</f>
        <v>0</v>
      </c>
    </row>
    <row r="118" spans="1:26" x14ac:dyDescent="0.2">
      <c r="A118" s="42"/>
      <c r="B118" s="71"/>
      <c r="C118" s="378" t="s">
        <v>120</v>
      </c>
      <c r="D118" s="446"/>
      <c r="E118" s="34">
        <v>6.4999999999999997E-3</v>
      </c>
      <c r="F118" s="62">
        <f>E118*F132</f>
        <v>39.016964999999999</v>
      </c>
      <c r="G118" s="34">
        <v>6.4999999999999997E-3</v>
      </c>
      <c r="H118" s="62">
        <f>G118*H132</f>
        <v>40.184170000000002</v>
      </c>
      <c r="I118" s="34">
        <v>6.4999999999999997E-3</v>
      </c>
      <c r="J118" s="62">
        <f>I118*J132</f>
        <v>43.457634999999996</v>
      </c>
      <c r="K118" s="34">
        <v>6.4999999999999997E-3</v>
      </c>
      <c r="L118" s="62">
        <f>K118*L132</f>
        <v>45.90157</v>
      </c>
      <c r="M118" s="34">
        <v>6.4999999999999997E-3</v>
      </c>
      <c r="N118" s="62">
        <f>M118*N132</f>
        <v>48.112285</v>
      </c>
      <c r="O118" s="42"/>
      <c r="P118" s="34">
        <v>6.4999999999999997E-3</v>
      </c>
      <c r="Q118" s="62">
        <f>P118*Q132</f>
        <v>38.194389999999999</v>
      </c>
      <c r="R118" s="42"/>
      <c r="S118" s="34">
        <v>6.4999999999999997E-3</v>
      </c>
      <c r="T118" s="62">
        <f>S118*T132</f>
        <v>46.248604999999998</v>
      </c>
      <c r="U118" s="199"/>
      <c r="V118" s="245">
        <v>6.4999999999999997E-3</v>
      </c>
      <c r="W118" s="255">
        <f>V118*W132</f>
        <v>80.222610000000003</v>
      </c>
      <c r="Y118" s="34">
        <v>0</v>
      </c>
      <c r="Z118" s="62">
        <f>Y118*Z132</f>
        <v>0</v>
      </c>
    </row>
    <row r="119" spans="1:26" x14ac:dyDescent="0.2">
      <c r="A119" s="42"/>
      <c r="B119" s="71"/>
      <c r="C119" s="378" t="s">
        <v>121</v>
      </c>
      <c r="D119" s="446"/>
      <c r="E119" s="34">
        <v>0.03</v>
      </c>
      <c r="F119" s="62">
        <f>E119*F132</f>
        <v>180.07829999999998</v>
      </c>
      <c r="G119" s="34">
        <v>0.03</v>
      </c>
      <c r="H119" s="62">
        <f>G119*H132</f>
        <v>185.46539999999999</v>
      </c>
      <c r="I119" s="34">
        <v>0.03</v>
      </c>
      <c r="J119" s="62">
        <f>I119*J132</f>
        <v>200.5737</v>
      </c>
      <c r="K119" s="34">
        <v>0.03</v>
      </c>
      <c r="L119" s="62">
        <f>K119*L132</f>
        <v>211.85339999999999</v>
      </c>
      <c r="M119" s="34">
        <v>0.03</v>
      </c>
      <c r="N119" s="62">
        <f>M119*N132</f>
        <v>222.05670000000001</v>
      </c>
      <c r="O119" s="42"/>
      <c r="P119" s="34">
        <v>0.03</v>
      </c>
      <c r="Q119" s="62">
        <f>P119*Q132</f>
        <v>176.2818</v>
      </c>
      <c r="R119" s="42"/>
      <c r="S119" s="34">
        <v>0.03</v>
      </c>
      <c r="T119" s="62">
        <f>S119*T132</f>
        <v>213.45509999999999</v>
      </c>
      <c r="U119" s="199"/>
      <c r="V119" s="245">
        <v>0.03</v>
      </c>
      <c r="W119" s="255">
        <f>V119*W132</f>
        <v>370.25819999999999</v>
      </c>
      <c r="Y119" s="34">
        <v>0</v>
      </c>
      <c r="Z119" s="62">
        <f>Y119*Z132</f>
        <v>0</v>
      </c>
    </row>
    <row r="120" spans="1:26" ht="13.5" thickBot="1" x14ac:dyDescent="0.25">
      <c r="A120" s="42"/>
      <c r="B120" s="71"/>
      <c r="C120" s="383" t="s">
        <v>122</v>
      </c>
      <c r="D120" s="451"/>
      <c r="E120" s="34">
        <v>0.05</v>
      </c>
      <c r="F120" s="62">
        <f>E120*F132</f>
        <v>300.13049999999998</v>
      </c>
      <c r="G120" s="34">
        <v>0.05</v>
      </c>
      <c r="H120" s="62">
        <f>ROUND(G120*H132,2)</f>
        <v>309.11</v>
      </c>
      <c r="I120" s="34">
        <v>0.05</v>
      </c>
      <c r="J120" s="52">
        <f>ROUND(I120*$N$132,2)</f>
        <v>370.09</v>
      </c>
      <c r="K120" s="34">
        <v>0.05</v>
      </c>
      <c r="L120" s="52">
        <f>ROUND(K120*$N$132,2)</f>
        <v>370.09</v>
      </c>
      <c r="M120" s="34">
        <v>0.05</v>
      </c>
      <c r="N120" s="52">
        <f>ROUND(M120*$N$132,2)</f>
        <v>370.09</v>
      </c>
      <c r="O120" s="42"/>
      <c r="P120" s="34">
        <v>0.05</v>
      </c>
      <c r="Q120" s="52">
        <f>ROUND(P120*$N$132,2)</f>
        <v>370.09</v>
      </c>
      <c r="R120" s="42"/>
      <c r="S120" s="34">
        <v>0.05</v>
      </c>
      <c r="T120" s="52">
        <f>ROUND(S120*T132,2)</f>
        <v>355.76</v>
      </c>
      <c r="U120" s="199"/>
      <c r="V120" s="245">
        <v>0.05</v>
      </c>
      <c r="W120" s="227">
        <f>ROUND(V120*W132,2)</f>
        <v>617.1</v>
      </c>
      <c r="Y120" s="34">
        <v>0</v>
      </c>
      <c r="Z120" s="52">
        <f>ROUND(Y120*Z132,2)</f>
        <v>0</v>
      </c>
    </row>
    <row r="121" spans="1:26" ht="15.75" thickBot="1" x14ac:dyDescent="0.3">
      <c r="A121" s="42"/>
      <c r="B121" s="41"/>
      <c r="C121" s="438" t="s">
        <v>16</v>
      </c>
      <c r="D121" s="439"/>
      <c r="E121" s="440"/>
      <c r="F121" s="13">
        <f>ROUND(SUM(F115,F116,F117),2)</f>
        <v>586.58000000000004</v>
      </c>
      <c r="G121" s="41"/>
      <c r="H121" s="13">
        <f>ROUND(SUM(H115,H116,H117),2)</f>
        <v>604.13</v>
      </c>
      <c r="I121" s="41"/>
      <c r="J121" s="13">
        <f>ROUND(SUM(J115,J116,J117),2)</f>
        <v>689.15</v>
      </c>
      <c r="K121" s="41"/>
      <c r="L121" s="13">
        <f>ROUND(SUM(L115,L116,L117),2)</f>
        <v>707.09</v>
      </c>
      <c r="M121" s="41"/>
      <c r="N121" s="13">
        <f>ROUND(SUM(N115,N116,N117),2)</f>
        <v>723.32</v>
      </c>
      <c r="O121" s="42"/>
      <c r="P121" s="41"/>
      <c r="Q121" s="13">
        <f>ROUND(SUM(Q115,Q116,Q117),2)</f>
        <v>650.51</v>
      </c>
      <c r="R121" s="42"/>
      <c r="S121" s="41"/>
      <c r="T121" s="13">
        <f>ROUND(SUM(T115,T116,T117),2)</f>
        <v>695.31</v>
      </c>
      <c r="U121" s="199"/>
      <c r="V121" s="213"/>
      <c r="W121" s="256">
        <f>ROUND(SUM(W115,W116,W117),2)</f>
        <v>1206.08</v>
      </c>
      <c r="Y121" s="41"/>
      <c r="Z121" s="13">
        <f>ROUND(SUM(Z115,Z116,Z117),2)</f>
        <v>0</v>
      </c>
    </row>
    <row r="122" spans="1:26" ht="13.5" thickBot="1" x14ac:dyDescent="0.25">
      <c r="A122" s="42"/>
      <c r="B122" s="462"/>
      <c r="C122" s="462"/>
      <c r="D122" s="462"/>
      <c r="E122" s="462"/>
      <c r="F122" s="462"/>
      <c r="G122" s="42"/>
      <c r="H122" s="42"/>
      <c r="I122" s="42"/>
      <c r="J122" s="42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199"/>
      <c r="V122" s="198"/>
      <c r="W122" s="198"/>
      <c r="Y122" s="42"/>
      <c r="Z122" s="42"/>
    </row>
    <row r="123" spans="1:26" ht="15.75" thickBot="1" x14ac:dyDescent="0.3">
      <c r="A123" s="42"/>
      <c r="B123" s="369" t="s">
        <v>125</v>
      </c>
      <c r="C123" s="370"/>
      <c r="D123" s="370"/>
      <c r="E123" s="370"/>
      <c r="F123" s="370"/>
      <c r="G123" s="370"/>
      <c r="H123" s="370"/>
      <c r="I123" s="370"/>
      <c r="J123" s="370"/>
      <c r="K123" s="370"/>
      <c r="L123" s="370"/>
      <c r="M123" s="370"/>
      <c r="N123" s="371"/>
      <c r="O123" s="42"/>
      <c r="P123" s="42"/>
      <c r="Q123" s="42"/>
      <c r="R123" s="42"/>
      <c r="S123" s="42"/>
      <c r="T123" s="42"/>
      <c r="U123" s="199"/>
      <c r="V123" s="198"/>
      <c r="W123" s="198"/>
      <c r="Y123" s="42"/>
      <c r="Z123" s="42"/>
    </row>
    <row r="124" spans="1:26" ht="15.75" customHeight="1" thickBot="1" x14ac:dyDescent="0.3">
      <c r="A124" s="42"/>
      <c r="B124" s="100"/>
      <c r="C124" s="460" t="s">
        <v>127</v>
      </c>
      <c r="D124" s="456"/>
      <c r="E124" s="457"/>
      <c r="F124" s="136" t="s">
        <v>35</v>
      </c>
      <c r="G124" s="3"/>
      <c r="H124" s="6" t="s">
        <v>35</v>
      </c>
      <c r="I124" s="3"/>
      <c r="J124" s="4" t="s">
        <v>35</v>
      </c>
      <c r="K124" s="3"/>
      <c r="L124" s="4" t="s">
        <v>35</v>
      </c>
      <c r="M124" s="3"/>
      <c r="N124" s="4" t="s">
        <v>35</v>
      </c>
      <c r="O124" s="42"/>
      <c r="P124" s="3"/>
      <c r="Q124" s="4" t="s">
        <v>35</v>
      </c>
      <c r="R124" s="42"/>
      <c r="S124" s="3"/>
      <c r="T124" s="4" t="s">
        <v>35</v>
      </c>
      <c r="U124" s="199"/>
      <c r="V124" s="257"/>
      <c r="W124" s="234" t="s">
        <v>35</v>
      </c>
      <c r="Y124" s="3"/>
      <c r="Z124" s="4" t="s">
        <v>35</v>
      </c>
    </row>
    <row r="125" spans="1:26" x14ac:dyDescent="0.2">
      <c r="A125" s="42"/>
      <c r="B125" s="70" t="s">
        <v>1</v>
      </c>
      <c r="C125" s="70" t="s">
        <v>52</v>
      </c>
      <c r="D125" s="402" t="s">
        <v>57</v>
      </c>
      <c r="E125" s="402"/>
      <c r="F125" s="59">
        <f>$F$37</f>
        <v>2850.45</v>
      </c>
      <c r="G125" s="39"/>
      <c r="H125" s="46">
        <f>$H$37</f>
        <v>2935.96</v>
      </c>
      <c r="I125" s="39"/>
      <c r="J125" s="55">
        <f>J37</f>
        <v>3185.51</v>
      </c>
      <c r="K125" s="39"/>
      <c r="L125" s="55">
        <f>L37</f>
        <v>3371.85</v>
      </c>
      <c r="M125" s="39"/>
      <c r="N125" s="55">
        <f>N37</f>
        <v>3540.43</v>
      </c>
      <c r="O125" s="42"/>
      <c r="P125" s="39"/>
      <c r="Q125" s="55">
        <f>Q37</f>
        <v>3371.85</v>
      </c>
      <c r="R125" s="42"/>
      <c r="S125" s="39"/>
      <c r="T125" s="55">
        <f>T37</f>
        <v>0</v>
      </c>
      <c r="U125" s="199"/>
      <c r="V125" s="210"/>
      <c r="W125" s="235">
        <v>0</v>
      </c>
      <c r="Y125" s="39"/>
      <c r="Z125" s="55">
        <v>0</v>
      </c>
    </row>
    <row r="126" spans="1:26" x14ac:dyDescent="0.2">
      <c r="A126" s="42"/>
      <c r="B126" s="71" t="s">
        <v>2</v>
      </c>
      <c r="C126" s="71" t="s">
        <v>53</v>
      </c>
      <c r="D126" s="379" t="s">
        <v>100</v>
      </c>
      <c r="E126" s="379"/>
      <c r="F126" s="62">
        <f>F71</f>
        <v>2389.7152530549997</v>
      </c>
      <c r="G126" s="39"/>
      <c r="H126" s="62">
        <f>H71</f>
        <v>2465.9029776840002</v>
      </c>
      <c r="I126" s="39"/>
      <c r="J126" s="52">
        <f>J71</f>
        <v>2660.5546146290003</v>
      </c>
      <c r="K126" s="39"/>
      <c r="L126" s="52">
        <f>L71</f>
        <v>2805.8429461149999</v>
      </c>
      <c r="M126" s="39"/>
      <c r="N126" s="52">
        <f>N71</f>
        <v>2937.2444156969996</v>
      </c>
      <c r="O126" s="42"/>
      <c r="P126" s="39"/>
      <c r="Q126" s="52">
        <f>Q71</f>
        <v>1873.8032499999999</v>
      </c>
      <c r="R126" s="42"/>
      <c r="S126" s="39"/>
      <c r="T126" s="52">
        <f>T71</f>
        <v>6386.9357199999995</v>
      </c>
      <c r="U126" s="199"/>
      <c r="V126" s="210"/>
      <c r="W126" s="227">
        <f>W71</f>
        <v>521.50939863000008</v>
      </c>
      <c r="Y126" s="39"/>
      <c r="Z126" s="52">
        <f>Z71</f>
        <v>1873.8032499999999</v>
      </c>
    </row>
    <row r="127" spans="1:26" x14ac:dyDescent="0.2">
      <c r="A127" s="42"/>
      <c r="B127" s="71" t="s">
        <v>4</v>
      </c>
      <c r="C127" s="71" t="s">
        <v>54</v>
      </c>
      <c r="D127" s="379" t="s">
        <v>45</v>
      </c>
      <c r="E127" s="379"/>
      <c r="F127" s="62">
        <f>F81</f>
        <v>90.19069255416666</v>
      </c>
      <c r="G127" s="39"/>
      <c r="H127" s="62">
        <f>H81</f>
        <v>89.617495858777787</v>
      </c>
      <c r="I127" s="39"/>
      <c r="J127" s="52">
        <f>J81</f>
        <v>97.234781547805554</v>
      </c>
      <c r="K127" s="39"/>
      <c r="L127" s="52">
        <f>L81</f>
        <v>102.92263975374999</v>
      </c>
      <c r="M127" s="39"/>
      <c r="N127" s="52">
        <f>N81</f>
        <v>108.0683901903611</v>
      </c>
      <c r="O127" s="42"/>
      <c r="P127" s="39"/>
      <c r="Q127" s="52">
        <f>Q81</f>
        <v>0</v>
      </c>
      <c r="R127" s="42"/>
      <c r="S127" s="39"/>
      <c r="T127" s="52">
        <f>T81</f>
        <v>0</v>
      </c>
      <c r="U127" s="199"/>
      <c r="V127" s="210"/>
      <c r="W127" s="227">
        <f>W81</f>
        <v>97.149829305288904</v>
      </c>
      <c r="Y127" s="39"/>
      <c r="Z127" s="52">
        <f>Z81</f>
        <v>102.92263975374999</v>
      </c>
    </row>
    <row r="128" spans="1:26" x14ac:dyDescent="0.2">
      <c r="A128" s="42"/>
      <c r="B128" s="71" t="s">
        <v>5</v>
      </c>
      <c r="C128" s="71" t="s">
        <v>55</v>
      </c>
      <c r="D128" s="379" t="s">
        <v>47</v>
      </c>
      <c r="E128" s="379"/>
      <c r="F128" s="62">
        <f>F103</f>
        <v>29.492655999999997</v>
      </c>
      <c r="G128" s="39"/>
      <c r="H128" s="62">
        <f>H103</f>
        <v>30.377399466666667</v>
      </c>
      <c r="I128" s="39"/>
      <c r="J128" s="52">
        <f>J103</f>
        <v>32.959410133333328</v>
      </c>
      <c r="K128" s="39"/>
      <c r="L128" s="52">
        <f>L103</f>
        <v>34.887408000000001</v>
      </c>
      <c r="M128" s="39"/>
      <c r="N128" s="52">
        <f>N103</f>
        <v>36.631649066666668</v>
      </c>
      <c r="O128" s="42"/>
      <c r="P128" s="39"/>
      <c r="Q128" s="52">
        <f>Q103</f>
        <v>0</v>
      </c>
      <c r="R128" s="42"/>
      <c r="S128" s="39"/>
      <c r="T128" s="52">
        <f>T103</f>
        <v>32.925998999999997</v>
      </c>
      <c r="U128" s="199"/>
      <c r="V128" s="210"/>
      <c r="W128" s="227">
        <f>W103</f>
        <v>0</v>
      </c>
      <c r="Y128" s="39"/>
      <c r="Z128" s="52">
        <f>Z103</f>
        <v>178.28586299179162</v>
      </c>
    </row>
    <row r="129" spans="1:26" x14ac:dyDescent="0.2">
      <c r="A129" s="42"/>
      <c r="B129" s="71" t="s">
        <v>6</v>
      </c>
      <c r="C129" s="71" t="s">
        <v>56</v>
      </c>
      <c r="D129" s="379" t="s">
        <v>15</v>
      </c>
      <c r="E129" s="379"/>
      <c r="F129" s="62">
        <f>F111</f>
        <v>56.187541025641032</v>
      </c>
      <c r="G129" s="39"/>
      <c r="H129" s="62">
        <f>H111</f>
        <v>56.187541025641032</v>
      </c>
      <c r="I129" s="39"/>
      <c r="J129" s="52">
        <f>J111</f>
        <v>56.187541025641032</v>
      </c>
      <c r="K129" s="39"/>
      <c r="L129" s="52">
        <f>L111</f>
        <v>56.187541025641032</v>
      </c>
      <c r="M129" s="39"/>
      <c r="N129" s="52">
        <f>N111</f>
        <v>56.187541025641032</v>
      </c>
      <c r="O129" s="42"/>
      <c r="P129" s="39"/>
      <c r="Q129" s="52">
        <f>Q111</f>
        <v>56.187541025641032</v>
      </c>
      <c r="R129" s="42"/>
      <c r="S129" s="39"/>
      <c r="T129" s="52">
        <f>T111</f>
        <v>0</v>
      </c>
      <c r="U129" s="199"/>
      <c r="V129" s="210"/>
      <c r="W129" s="227">
        <f>W111</f>
        <v>0</v>
      </c>
      <c r="Y129" s="39"/>
      <c r="Z129" s="52">
        <f>Z111</f>
        <v>0</v>
      </c>
    </row>
    <row r="130" spans="1:26" x14ac:dyDescent="0.2">
      <c r="A130" s="42"/>
      <c r="B130" s="71"/>
      <c r="C130" s="452" t="s">
        <v>123</v>
      </c>
      <c r="D130" s="459"/>
      <c r="E130" s="453"/>
      <c r="F130" s="62">
        <f>ROUNDDOWN(SUM(F125:F129),2)</f>
        <v>5416.03</v>
      </c>
      <c r="G130" s="39"/>
      <c r="H130" s="62">
        <f>SUM(H125:H129)</f>
        <v>5578.0454140350857</v>
      </c>
      <c r="I130" s="39"/>
      <c r="J130" s="52">
        <f>SUM(J125:J129)</f>
        <v>6032.4463473357791</v>
      </c>
      <c r="K130" s="39"/>
      <c r="L130" s="52">
        <f>SUM(L125:L129)</f>
        <v>6371.6905348943892</v>
      </c>
      <c r="M130" s="39"/>
      <c r="N130" s="52">
        <f>SUM(N125:N129)</f>
        <v>6678.5619959796686</v>
      </c>
      <c r="O130" s="42"/>
      <c r="P130" s="39"/>
      <c r="Q130" s="52">
        <f>SUM(Q125:Q129)</f>
        <v>5301.8407910256401</v>
      </c>
      <c r="R130" s="42"/>
      <c r="S130" s="39"/>
      <c r="T130" s="52">
        <f>SUM(T125:T129)</f>
        <v>6419.8617189999995</v>
      </c>
      <c r="U130" s="199"/>
      <c r="V130" s="210"/>
      <c r="W130" s="227">
        <f>SUM(W125:W129)*18</f>
        <v>11135.866102835202</v>
      </c>
      <c r="Y130" s="39"/>
      <c r="Z130" s="52">
        <v>0</v>
      </c>
    </row>
    <row r="131" spans="1:26" ht="13.5" thickBot="1" x14ac:dyDescent="0.25">
      <c r="A131" s="42"/>
      <c r="B131" s="80" t="s">
        <v>6</v>
      </c>
      <c r="C131" s="99" t="s">
        <v>128</v>
      </c>
      <c r="D131" s="383" t="s">
        <v>59</v>
      </c>
      <c r="E131" s="451"/>
      <c r="F131" s="63">
        <f>$F$121</f>
        <v>586.58000000000004</v>
      </c>
      <c r="G131" s="64"/>
      <c r="H131" s="48">
        <f>H121</f>
        <v>604.13</v>
      </c>
      <c r="I131" s="64"/>
      <c r="J131" s="48">
        <f>J121</f>
        <v>689.15</v>
      </c>
      <c r="K131" s="64"/>
      <c r="L131" s="48">
        <f>L121</f>
        <v>707.09</v>
      </c>
      <c r="M131" s="64"/>
      <c r="N131" s="48">
        <f>N121</f>
        <v>723.32</v>
      </c>
      <c r="O131" s="42"/>
      <c r="P131" s="64"/>
      <c r="Q131" s="48">
        <f>Q121</f>
        <v>650.51</v>
      </c>
      <c r="R131" s="42"/>
      <c r="S131" s="64"/>
      <c r="T131" s="48">
        <f>T121</f>
        <v>695.31</v>
      </c>
      <c r="U131" s="199"/>
      <c r="V131" s="258"/>
      <c r="W131" s="259">
        <f>W121</f>
        <v>1206.08</v>
      </c>
      <c r="Y131" s="64"/>
      <c r="Z131" s="48">
        <f>Z121</f>
        <v>0</v>
      </c>
    </row>
    <row r="132" spans="1:26" ht="15.75" thickBot="1" x14ac:dyDescent="0.25">
      <c r="A132" s="42"/>
      <c r="B132" s="41"/>
      <c r="C132" s="448" t="s">
        <v>51</v>
      </c>
      <c r="D132" s="449"/>
      <c r="E132" s="450"/>
      <c r="F132" s="5">
        <f>ROUNDDOWN((F130+F115+F116)/(1-E117),2)</f>
        <v>6002.61</v>
      </c>
      <c r="G132" s="41"/>
      <c r="H132" s="13">
        <f>ROUND((H130+H115+H116)/(1-G117),2)</f>
        <v>6182.18</v>
      </c>
      <c r="I132" s="41"/>
      <c r="J132" s="5">
        <f>ROUND((J130+J115+J116)/(1-I117),2)</f>
        <v>6685.79</v>
      </c>
      <c r="K132" s="41"/>
      <c r="L132" s="5">
        <f>ROUND((L130+L115+L116)/(1-K117),2)</f>
        <v>7061.78</v>
      </c>
      <c r="M132" s="41"/>
      <c r="N132" s="5">
        <f>ROUND((N130+N115+N116)/(1-M117),2)</f>
        <v>7401.89</v>
      </c>
      <c r="O132" s="42"/>
      <c r="P132" s="41"/>
      <c r="Q132" s="5">
        <f>ROUND((Q130+Q115+Q116)/(1-P117),2)</f>
        <v>5876.06</v>
      </c>
      <c r="R132" s="42"/>
      <c r="S132" s="41"/>
      <c r="T132" s="5">
        <f>ROUND((T130+T115+T116)/(1-S117),2)</f>
        <v>7115.17</v>
      </c>
      <c r="U132" s="199"/>
      <c r="V132" s="213"/>
      <c r="W132" s="214">
        <f>ROUND((W130+W115+W116)/(1-V117),2)</f>
        <v>12341.94</v>
      </c>
      <c r="Y132" s="41"/>
      <c r="Z132" s="5"/>
    </row>
    <row r="133" spans="1:26" x14ac:dyDescent="0.2">
      <c r="A133" s="42"/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  <c r="O133" s="42"/>
      <c r="P133" s="42"/>
      <c r="Q133" s="42"/>
      <c r="R133" s="42"/>
      <c r="S133" s="42"/>
      <c r="T133" s="42"/>
      <c r="V133" s="42"/>
      <c r="W133" s="42"/>
      <c r="Y133" s="42"/>
      <c r="Z133" s="42"/>
    </row>
    <row r="134" spans="1:26" x14ac:dyDescent="0.2">
      <c r="A134" s="42"/>
      <c r="B134" s="42"/>
      <c r="C134" s="42"/>
      <c r="D134" s="42"/>
      <c r="E134" s="42"/>
      <c r="F134" s="29"/>
      <c r="G134" s="42"/>
      <c r="H134" s="83"/>
      <c r="I134" s="42"/>
      <c r="J134" s="83">
        <v>6685.79</v>
      </c>
      <c r="K134" s="42"/>
      <c r="L134" s="83"/>
      <c r="M134" s="42"/>
      <c r="N134" s="83"/>
      <c r="O134" s="42"/>
      <c r="P134" s="42"/>
      <c r="Q134" s="68">
        <v>5565.6</v>
      </c>
      <c r="R134" s="42"/>
      <c r="S134" s="42"/>
      <c r="T134" s="83">
        <v>6401.88</v>
      </c>
      <c r="V134" s="42"/>
      <c r="W134" s="83">
        <v>11375.07</v>
      </c>
      <c r="Y134" s="42"/>
      <c r="Z134" s="83">
        <v>168.76</v>
      </c>
    </row>
    <row r="135" spans="1:26" x14ac:dyDescent="0.2">
      <c r="A135" s="42"/>
      <c r="B135" s="42"/>
      <c r="C135" s="42"/>
      <c r="D135" s="42"/>
      <c r="E135" s="42"/>
      <c r="G135" s="42"/>
      <c r="H135" s="42"/>
      <c r="I135" s="42"/>
      <c r="J135" s="83"/>
      <c r="K135" s="42"/>
      <c r="L135" s="83"/>
      <c r="M135" s="42"/>
      <c r="N135" s="83"/>
      <c r="O135" s="42"/>
      <c r="P135" s="42"/>
      <c r="R135" s="42"/>
      <c r="S135" s="42"/>
      <c r="T135" s="83"/>
      <c r="V135" s="42"/>
      <c r="W135" s="83" t="s">
        <v>250</v>
      </c>
      <c r="Y135" s="42"/>
      <c r="Z135" s="83"/>
    </row>
    <row r="136" spans="1:26" x14ac:dyDescent="0.2">
      <c r="A136" s="42"/>
      <c r="B136" s="42"/>
      <c r="C136" s="42"/>
      <c r="D136" s="42"/>
      <c r="E136" s="42"/>
      <c r="F136" s="42"/>
      <c r="G136" s="42"/>
      <c r="H136" s="83"/>
      <c r="I136" s="42"/>
      <c r="J136" s="42"/>
      <c r="K136" s="42"/>
      <c r="L136" s="42"/>
      <c r="M136" s="42"/>
      <c r="N136" s="42"/>
      <c r="O136" s="42"/>
      <c r="P136" s="42"/>
      <c r="R136" s="42"/>
      <c r="S136" s="42"/>
      <c r="V136" s="42"/>
      <c r="Y136" s="42"/>
      <c r="Z136" s="83"/>
    </row>
    <row r="137" spans="1:26" x14ac:dyDescent="0.2">
      <c r="A137" s="42"/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  <c r="O137" s="42"/>
      <c r="P137" s="42"/>
      <c r="R137" s="42"/>
      <c r="S137" s="42" t="s">
        <v>274</v>
      </c>
      <c r="T137" s="83"/>
      <c r="V137" s="42"/>
      <c r="W137" s="42"/>
      <c r="Y137" s="42"/>
      <c r="Z137" s="96"/>
    </row>
    <row r="138" spans="1:26" x14ac:dyDescent="0.2">
      <c r="A138" s="42"/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  <c r="O138" s="42"/>
      <c r="P138" s="42"/>
      <c r="R138" s="42"/>
      <c r="S138" s="42"/>
      <c r="T138" s="42"/>
      <c r="V138" s="42"/>
      <c r="W138" s="42"/>
      <c r="Y138" s="42"/>
      <c r="Z138" s="83"/>
    </row>
    <row r="139" spans="1:26" x14ac:dyDescent="0.2">
      <c r="A139" s="42"/>
      <c r="B139" s="42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  <c r="O139" s="42"/>
      <c r="P139" s="42"/>
      <c r="Q139" s="42"/>
      <c r="R139" s="42"/>
      <c r="S139" s="42"/>
      <c r="T139" s="42"/>
      <c r="V139" s="42"/>
      <c r="W139" s="42"/>
      <c r="Y139" s="42"/>
      <c r="Z139" s="42"/>
    </row>
    <row r="140" spans="1:26" x14ac:dyDescent="0.2">
      <c r="A140" s="42"/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  <c r="O140" s="42"/>
      <c r="P140" s="42"/>
      <c r="Q140" s="42"/>
      <c r="R140" s="42"/>
      <c r="S140" s="42"/>
      <c r="T140" s="42"/>
      <c r="V140" s="42"/>
      <c r="W140" s="42"/>
      <c r="Y140" s="42"/>
      <c r="Z140" s="42"/>
    </row>
    <row r="141" spans="1:26" x14ac:dyDescent="0.2">
      <c r="A141" s="42"/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2"/>
      <c r="O141" s="42"/>
      <c r="P141" s="42"/>
      <c r="Q141" s="83">
        <v>5149.74</v>
      </c>
      <c r="R141" s="42"/>
      <c r="S141" s="42"/>
      <c r="T141" s="42"/>
      <c r="V141" s="42"/>
      <c r="W141" s="42"/>
      <c r="Y141" s="42"/>
      <c r="Z141" s="42"/>
    </row>
    <row r="142" spans="1:26" x14ac:dyDescent="0.2">
      <c r="A142" s="42"/>
      <c r="B142" s="42"/>
      <c r="C142" s="42"/>
      <c r="D142" s="42"/>
      <c r="E142" s="42"/>
      <c r="F142" s="42" t="s">
        <v>60</v>
      </c>
      <c r="G142" s="42"/>
      <c r="H142" s="42"/>
      <c r="I142" s="42"/>
      <c r="J142" s="42"/>
      <c r="K142" s="42"/>
      <c r="L142" s="42"/>
      <c r="M142" s="42"/>
      <c r="N142" s="42"/>
      <c r="O142" s="42"/>
      <c r="P142" s="42"/>
      <c r="Q142" s="83">
        <f>Q141/30</f>
        <v>171.65799999999999</v>
      </c>
      <c r="R142" s="42"/>
      <c r="S142" s="42"/>
      <c r="T142" s="42"/>
      <c r="V142" s="42"/>
      <c r="W142" s="42"/>
      <c r="Y142" s="42"/>
      <c r="Z142" s="42"/>
    </row>
    <row r="143" spans="1:26" x14ac:dyDescent="0.2">
      <c r="A143" s="42"/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  <c r="O143" s="42"/>
      <c r="P143" s="42"/>
      <c r="Q143" s="42"/>
      <c r="R143" s="42"/>
      <c r="S143" s="42"/>
      <c r="T143" s="42"/>
      <c r="V143" s="42"/>
      <c r="W143" s="42"/>
      <c r="Y143" s="42"/>
      <c r="Z143" s="42"/>
    </row>
    <row r="144" spans="1:26" x14ac:dyDescent="0.2">
      <c r="A144" s="42"/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  <c r="O144" s="42"/>
      <c r="P144" s="42"/>
      <c r="Q144" s="42">
        <v>156</v>
      </c>
      <c r="R144" s="42"/>
      <c r="S144" s="42"/>
      <c r="T144" s="42"/>
      <c r="V144" s="42"/>
      <c r="W144" s="42"/>
      <c r="Y144" s="42"/>
      <c r="Z144" s="42"/>
    </row>
    <row r="145" spans="1:26" x14ac:dyDescent="0.2">
      <c r="A145" s="42"/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  <c r="O145" s="42"/>
      <c r="P145" s="42"/>
      <c r="Q145" s="42">
        <f>Q144*30</f>
        <v>4680</v>
      </c>
      <c r="R145" s="42"/>
      <c r="S145" s="42"/>
      <c r="T145" s="42"/>
      <c r="V145" s="42"/>
      <c r="W145" s="42"/>
      <c r="Y145" s="42"/>
      <c r="Z145" s="42"/>
    </row>
    <row r="146" spans="1:26" x14ac:dyDescent="0.2">
      <c r="A146" s="42"/>
      <c r="B146" s="42"/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2"/>
      <c r="O146" s="42"/>
      <c r="P146" s="42"/>
      <c r="Q146" s="42"/>
      <c r="R146" s="42"/>
      <c r="S146" s="42"/>
      <c r="T146" s="42"/>
      <c r="V146" s="42"/>
      <c r="W146" s="42"/>
      <c r="Y146" s="42"/>
      <c r="Z146" s="42"/>
    </row>
    <row r="147" spans="1:26" x14ac:dyDescent="0.2">
      <c r="A147" s="42"/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2"/>
      <c r="O147" s="42"/>
      <c r="P147" s="42"/>
      <c r="Q147" s="42"/>
      <c r="R147" s="42"/>
      <c r="S147" s="42"/>
      <c r="T147" s="42"/>
      <c r="V147" s="42"/>
      <c r="W147" s="42"/>
      <c r="Y147" s="42"/>
      <c r="Z147" s="42"/>
    </row>
    <row r="148" spans="1:26" x14ac:dyDescent="0.2">
      <c r="A148" s="42"/>
      <c r="B148" s="42"/>
      <c r="C148" s="42"/>
      <c r="D148" s="42"/>
      <c r="E148" s="42"/>
      <c r="F148" s="42"/>
      <c r="G148" s="42"/>
      <c r="H148" s="42"/>
      <c r="I148" s="42"/>
      <c r="J148" s="42"/>
      <c r="K148" s="42"/>
      <c r="L148" s="42"/>
      <c r="M148" s="42"/>
      <c r="N148" s="42"/>
      <c r="O148" s="42"/>
      <c r="P148" s="42"/>
      <c r="Q148" s="42"/>
      <c r="R148" s="42"/>
      <c r="S148" s="42"/>
      <c r="T148" s="42"/>
      <c r="V148" s="42"/>
      <c r="W148" s="42"/>
      <c r="Y148" s="42"/>
      <c r="Z148" s="42"/>
    </row>
    <row r="149" spans="1:26" x14ac:dyDescent="0.2">
      <c r="A149" s="42"/>
      <c r="B149" s="42"/>
      <c r="C149" s="42"/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  <c r="O149" s="42"/>
      <c r="P149" s="42"/>
      <c r="Q149" s="42"/>
      <c r="R149" s="42"/>
      <c r="S149" s="42"/>
      <c r="T149" s="42"/>
      <c r="V149" s="42"/>
      <c r="W149" s="42"/>
      <c r="Y149" s="42"/>
      <c r="Z149" s="42"/>
    </row>
    <row r="150" spans="1:26" x14ac:dyDescent="0.2">
      <c r="A150" s="42"/>
      <c r="B150" s="42"/>
      <c r="C150" s="42"/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2"/>
      <c r="O150" s="42"/>
      <c r="P150" s="42"/>
      <c r="Q150" s="42"/>
      <c r="R150" s="42"/>
      <c r="S150" s="42"/>
      <c r="T150" s="42"/>
      <c r="V150" s="42"/>
      <c r="W150" s="42"/>
      <c r="Y150" s="42"/>
      <c r="Z150" s="42"/>
    </row>
    <row r="151" spans="1:26" x14ac:dyDescent="0.2">
      <c r="A151" s="42"/>
      <c r="B151" s="42"/>
      <c r="C151" s="42"/>
      <c r="D151" s="42"/>
      <c r="E151" s="42"/>
      <c r="F151" s="42"/>
      <c r="G151" s="42"/>
      <c r="H151" s="42"/>
      <c r="I151" s="42"/>
      <c r="J151" s="42"/>
      <c r="K151" s="42"/>
      <c r="L151" s="42"/>
      <c r="M151" s="42"/>
      <c r="N151" s="42"/>
      <c r="O151" s="42"/>
      <c r="P151" s="42"/>
      <c r="Q151" s="42"/>
      <c r="R151" s="42"/>
      <c r="S151" s="42"/>
      <c r="T151" s="42"/>
      <c r="V151" s="42"/>
      <c r="W151" s="42"/>
      <c r="Y151" s="42"/>
      <c r="Z151" s="42"/>
    </row>
    <row r="152" spans="1:26" x14ac:dyDescent="0.2">
      <c r="A152" s="42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42"/>
      <c r="Q152" s="42"/>
      <c r="R152" s="42"/>
      <c r="S152" s="42"/>
      <c r="T152" s="42"/>
      <c r="V152" s="42"/>
      <c r="W152" s="42"/>
      <c r="Y152" s="42"/>
      <c r="Z152" s="42"/>
    </row>
    <row r="153" spans="1:26" x14ac:dyDescent="0.2">
      <c r="A153" s="42"/>
      <c r="B153" s="42"/>
      <c r="C153" s="42"/>
      <c r="D153" s="42"/>
      <c r="E153" s="42"/>
      <c r="F153" s="42"/>
      <c r="G153" s="42"/>
      <c r="H153" s="42"/>
      <c r="I153" s="42"/>
      <c r="J153" s="42"/>
      <c r="K153" s="42"/>
      <c r="L153" s="42"/>
      <c r="M153" s="42"/>
      <c r="N153" s="42"/>
      <c r="O153" s="42"/>
      <c r="P153" s="42"/>
      <c r="Q153" s="42"/>
      <c r="R153" s="42"/>
      <c r="S153" s="42"/>
      <c r="T153" s="42"/>
      <c r="V153" s="42"/>
      <c r="W153" s="42"/>
      <c r="Y153" s="42"/>
      <c r="Z153" s="42"/>
    </row>
    <row r="154" spans="1:26" x14ac:dyDescent="0.2">
      <c r="A154" s="42"/>
      <c r="B154" s="42"/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2"/>
      <c r="O154" s="42"/>
      <c r="P154" s="42"/>
      <c r="Q154" s="42"/>
      <c r="R154" s="42"/>
      <c r="S154" s="42"/>
      <c r="T154" s="42"/>
      <c r="V154" s="42"/>
      <c r="W154" s="42"/>
      <c r="Y154" s="42"/>
      <c r="Z154" s="42"/>
    </row>
    <row r="155" spans="1:26" x14ac:dyDescent="0.2">
      <c r="A155" s="42"/>
      <c r="B155" s="42"/>
      <c r="C155" s="42"/>
      <c r="D155" s="42"/>
      <c r="E155" s="42"/>
      <c r="F155" s="42"/>
      <c r="G155" s="42"/>
      <c r="H155" s="42"/>
      <c r="I155" s="42"/>
      <c r="J155" s="42"/>
      <c r="K155" s="42"/>
      <c r="L155" s="42"/>
      <c r="M155" s="42"/>
      <c r="N155" s="42"/>
      <c r="O155" s="42"/>
      <c r="P155" s="42"/>
      <c r="Q155" s="42"/>
      <c r="R155" s="42"/>
      <c r="S155" s="42"/>
      <c r="T155" s="42"/>
      <c r="V155" s="42"/>
      <c r="W155" s="42"/>
      <c r="Y155" s="42"/>
      <c r="Z155" s="42"/>
    </row>
    <row r="156" spans="1:26" x14ac:dyDescent="0.2">
      <c r="A156" s="42"/>
      <c r="B156" s="42"/>
      <c r="C156" s="42"/>
      <c r="D156" s="42"/>
      <c r="E156" s="42"/>
      <c r="F156" s="42"/>
      <c r="G156" s="42"/>
      <c r="H156" s="42"/>
      <c r="I156" s="42"/>
      <c r="J156" s="42"/>
      <c r="K156" s="42"/>
      <c r="L156" s="42"/>
      <c r="M156" s="42"/>
      <c r="N156" s="42"/>
      <c r="O156" s="42"/>
      <c r="P156" s="42"/>
      <c r="Q156" s="42"/>
      <c r="R156" s="42"/>
      <c r="S156" s="42"/>
      <c r="T156" s="42"/>
      <c r="V156" s="42"/>
      <c r="W156" s="42"/>
      <c r="Y156" s="42"/>
      <c r="Z156" s="42"/>
    </row>
    <row r="157" spans="1:26" x14ac:dyDescent="0.2">
      <c r="A157" s="42"/>
      <c r="B157" s="42"/>
      <c r="C157" s="42"/>
      <c r="D157" s="42"/>
      <c r="E157" s="42"/>
      <c r="F157" s="42"/>
      <c r="G157" s="42"/>
      <c r="H157" s="42"/>
      <c r="I157" s="42"/>
      <c r="J157" s="42"/>
      <c r="K157" s="42"/>
      <c r="L157" s="42"/>
      <c r="M157" s="42"/>
      <c r="N157" s="42"/>
      <c r="O157" s="42"/>
      <c r="P157" s="42"/>
      <c r="Q157" s="42"/>
      <c r="R157" s="42"/>
      <c r="S157" s="42"/>
      <c r="T157" s="42"/>
      <c r="V157" s="42"/>
      <c r="W157" s="42"/>
      <c r="Y157" s="42"/>
      <c r="Z157" s="42"/>
    </row>
    <row r="158" spans="1:26" x14ac:dyDescent="0.2">
      <c r="A158" s="42"/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2"/>
      <c r="O158" s="42"/>
      <c r="P158" s="42"/>
      <c r="Q158" s="42"/>
      <c r="R158" s="42"/>
      <c r="S158" s="42"/>
      <c r="T158" s="42"/>
      <c r="V158" s="42"/>
      <c r="W158" s="42"/>
      <c r="Y158" s="42"/>
      <c r="Z158" s="42"/>
    </row>
    <row r="159" spans="1:26" x14ac:dyDescent="0.2">
      <c r="A159" s="42"/>
      <c r="B159" s="42"/>
      <c r="C159" s="42"/>
      <c r="D159" s="42"/>
      <c r="E159" s="42"/>
      <c r="F159" s="42"/>
      <c r="G159" s="42"/>
      <c r="H159" s="42"/>
      <c r="I159" s="42"/>
      <c r="J159" s="42"/>
      <c r="K159" s="42"/>
      <c r="L159" s="42"/>
      <c r="M159" s="42"/>
      <c r="N159" s="42"/>
      <c r="O159" s="42"/>
      <c r="P159" s="42"/>
      <c r="Q159" s="42"/>
      <c r="R159" s="42"/>
      <c r="S159" s="42"/>
      <c r="T159" s="42"/>
      <c r="V159" s="42"/>
      <c r="W159" s="42"/>
      <c r="Y159" s="42"/>
      <c r="Z159" s="42"/>
    </row>
    <row r="160" spans="1:26" x14ac:dyDescent="0.2">
      <c r="A160" s="42"/>
      <c r="B160" s="42"/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  <c r="O160" s="42"/>
      <c r="P160" s="42"/>
      <c r="Q160" s="42"/>
      <c r="R160" s="42"/>
      <c r="S160" s="42"/>
      <c r="T160" s="42"/>
      <c r="V160" s="42"/>
      <c r="W160" s="42"/>
      <c r="Y160" s="42"/>
      <c r="Z160" s="42"/>
    </row>
    <row r="161" spans="1:26" x14ac:dyDescent="0.2">
      <c r="A161" s="42"/>
      <c r="B161" s="42"/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42"/>
      <c r="N161" s="42"/>
      <c r="O161" s="42"/>
      <c r="P161" s="42"/>
      <c r="Q161" s="42"/>
      <c r="R161" s="42"/>
      <c r="S161" s="42"/>
      <c r="T161" s="42"/>
      <c r="V161" s="42"/>
      <c r="W161" s="42"/>
      <c r="Y161" s="42"/>
      <c r="Z161" s="42"/>
    </row>
    <row r="162" spans="1:26" x14ac:dyDescent="0.2">
      <c r="A162" s="42"/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  <c r="O162" s="42"/>
      <c r="P162" s="42"/>
      <c r="Q162" s="42"/>
      <c r="R162" s="42"/>
      <c r="S162" s="42"/>
      <c r="T162" s="42"/>
      <c r="V162" s="42"/>
      <c r="W162" s="42"/>
      <c r="Y162" s="42"/>
      <c r="Z162" s="42"/>
    </row>
    <row r="163" spans="1:26" x14ac:dyDescent="0.2">
      <c r="A163" s="42"/>
      <c r="B163" s="42"/>
      <c r="C163" s="42"/>
      <c r="D163" s="42"/>
      <c r="E163" s="42"/>
      <c r="F163" s="42"/>
      <c r="G163" s="42"/>
      <c r="H163" s="42"/>
      <c r="I163" s="42"/>
      <c r="J163" s="42"/>
      <c r="K163" s="42"/>
      <c r="L163" s="42"/>
      <c r="M163" s="42"/>
      <c r="N163" s="42"/>
      <c r="O163" s="42"/>
      <c r="P163" s="42"/>
      <c r="Q163" s="42"/>
      <c r="R163" s="42"/>
      <c r="S163" s="42"/>
      <c r="T163" s="42"/>
      <c r="V163" s="42"/>
      <c r="W163" s="42"/>
      <c r="Y163" s="42"/>
      <c r="Z163" s="42"/>
    </row>
    <row r="164" spans="1:26" x14ac:dyDescent="0.2">
      <c r="A164" s="42"/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  <c r="O164" s="42"/>
      <c r="P164" s="42"/>
      <c r="Q164" s="42"/>
      <c r="R164" s="42"/>
      <c r="S164" s="42"/>
      <c r="T164" s="42"/>
      <c r="V164" s="42"/>
      <c r="W164" s="42"/>
      <c r="Y164" s="42"/>
      <c r="Z164" s="42"/>
    </row>
    <row r="165" spans="1:26" x14ac:dyDescent="0.2">
      <c r="A165" s="42"/>
      <c r="B165" s="42"/>
      <c r="C165" s="42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2"/>
      <c r="O165" s="42"/>
      <c r="P165" s="42"/>
      <c r="Q165" s="42"/>
      <c r="R165" s="42"/>
      <c r="S165" s="42"/>
      <c r="T165" s="42"/>
      <c r="V165" s="42"/>
      <c r="W165" s="42"/>
      <c r="Y165" s="42"/>
      <c r="Z165" s="42"/>
    </row>
    <row r="166" spans="1:26" x14ac:dyDescent="0.2">
      <c r="A166" s="42"/>
      <c r="B166" s="42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  <c r="O166" s="42"/>
      <c r="P166" s="42"/>
      <c r="Q166" s="42"/>
      <c r="R166" s="42"/>
      <c r="S166" s="42"/>
      <c r="T166" s="42"/>
      <c r="V166" s="42"/>
      <c r="W166" s="42"/>
      <c r="Y166" s="42"/>
      <c r="Z166" s="42"/>
    </row>
    <row r="167" spans="1:26" x14ac:dyDescent="0.2">
      <c r="A167" s="42"/>
      <c r="B167" s="42"/>
      <c r="C167" s="42"/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2"/>
      <c r="O167" s="42"/>
      <c r="P167" s="42"/>
      <c r="Q167" s="42"/>
      <c r="R167" s="42"/>
      <c r="S167" s="42"/>
      <c r="T167" s="42"/>
      <c r="V167" s="42"/>
      <c r="W167" s="42"/>
      <c r="Y167" s="42"/>
      <c r="Z167" s="42"/>
    </row>
    <row r="168" spans="1:26" x14ac:dyDescent="0.2">
      <c r="A168" s="42"/>
      <c r="B168" s="42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42"/>
      <c r="Q168" s="42"/>
      <c r="R168" s="42"/>
      <c r="S168" s="42"/>
      <c r="T168" s="42"/>
      <c r="V168" s="42"/>
      <c r="W168" s="42"/>
      <c r="Y168" s="42"/>
      <c r="Z168" s="42"/>
    </row>
    <row r="169" spans="1:26" x14ac:dyDescent="0.2">
      <c r="A169" s="42"/>
      <c r="B169" s="42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  <c r="O169" s="42"/>
      <c r="P169" s="42"/>
      <c r="Q169" s="42"/>
      <c r="R169" s="42"/>
      <c r="S169" s="42"/>
      <c r="T169" s="42"/>
      <c r="V169" s="42"/>
      <c r="W169" s="42"/>
      <c r="Y169" s="42"/>
      <c r="Z169" s="42"/>
    </row>
    <row r="170" spans="1:26" x14ac:dyDescent="0.2">
      <c r="A170" s="42"/>
      <c r="B170" s="42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42"/>
      <c r="Q170" s="42"/>
      <c r="R170" s="42"/>
      <c r="S170" s="42"/>
      <c r="T170" s="42"/>
      <c r="V170" s="42"/>
      <c r="W170" s="42"/>
      <c r="Y170" s="42"/>
      <c r="Z170" s="42"/>
    </row>
    <row r="171" spans="1:26" x14ac:dyDescent="0.2">
      <c r="A171" s="42"/>
      <c r="B171" s="42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  <c r="P171" s="42"/>
      <c r="Q171" s="42"/>
      <c r="R171" s="42"/>
      <c r="S171" s="42"/>
      <c r="T171" s="42"/>
      <c r="V171" s="42"/>
      <c r="W171" s="42"/>
      <c r="Y171" s="42"/>
      <c r="Z171" s="42"/>
    </row>
    <row r="172" spans="1:26" x14ac:dyDescent="0.2">
      <c r="A172" s="42"/>
      <c r="B172" s="42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42"/>
      <c r="Q172" s="42"/>
      <c r="R172" s="42"/>
      <c r="S172" s="42"/>
      <c r="T172" s="42"/>
      <c r="V172" s="42"/>
      <c r="W172" s="42"/>
      <c r="Y172" s="42"/>
      <c r="Z172" s="42"/>
    </row>
    <row r="173" spans="1:26" x14ac:dyDescent="0.2">
      <c r="A173" s="42"/>
      <c r="B173" s="42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42"/>
      <c r="Q173" s="42"/>
      <c r="R173" s="42"/>
      <c r="S173" s="42"/>
      <c r="T173" s="42"/>
      <c r="V173" s="42"/>
      <c r="W173" s="42"/>
      <c r="Y173" s="42"/>
      <c r="Z173" s="42"/>
    </row>
    <row r="174" spans="1:26" x14ac:dyDescent="0.2">
      <c r="A174" s="42"/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42"/>
      <c r="Q174" s="42"/>
      <c r="R174" s="42"/>
      <c r="S174" s="42"/>
      <c r="T174" s="42"/>
      <c r="V174" s="42"/>
      <c r="W174" s="42"/>
      <c r="Y174" s="42"/>
      <c r="Z174" s="42"/>
    </row>
    <row r="175" spans="1:26" x14ac:dyDescent="0.2">
      <c r="A175" s="42"/>
      <c r="B175" s="42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  <c r="O175" s="42"/>
      <c r="P175" s="42"/>
      <c r="Q175" s="42"/>
      <c r="R175" s="42"/>
      <c r="S175" s="42"/>
      <c r="T175" s="42"/>
      <c r="V175" s="42"/>
      <c r="W175" s="42"/>
      <c r="Y175" s="42"/>
      <c r="Z175" s="42"/>
    </row>
    <row r="176" spans="1:26" x14ac:dyDescent="0.2">
      <c r="A176" s="42"/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42"/>
      <c r="Q176" s="42"/>
      <c r="R176" s="42"/>
      <c r="S176" s="42"/>
      <c r="T176" s="42"/>
      <c r="V176" s="42"/>
      <c r="W176" s="42"/>
      <c r="Y176" s="42"/>
      <c r="Z176" s="42"/>
    </row>
    <row r="177" spans="1:26" x14ac:dyDescent="0.2">
      <c r="A177" s="42"/>
      <c r="B177" s="42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42"/>
      <c r="Q177" s="42"/>
      <c r="R177" s="42"/>
      <c r="S177" s="42"/>
      <c r="T177" s="42"/>
      <c r="V177" s="42"/>
      <c r="W177" s="42"/>
      <c r="Y177" s="42"/>
      <c r="Z177" s="42"/>
    </row>
    <row r="178" spans="1:26" x14ac:dyDescent="0.2">
      <c r="A178" s="42"/>
      <c r="B178" s="42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42"/>
      <c r="Q178" s="42"/>
      <c r="R178" s="42"/>
      <c r="S178" s="42"/>
      <c r="T178" s="42"/>
      <c r="V178" s="42"/>
      <c r="W178" s="42"/>
      <c r="Y178" s="42"/>
      <c r="Z178" s="42"/>
    </row>
    <row r="179" spans="1:26" x14ac:dyDescent="0.2">
      <c r="A179" s="42"/>
      <c r="B179" s="42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  <c r="O179" s="42"/>
      <c r="P179" s="42"/>
      <c r="Q179" s="42"/>
      <c r="R179" s="42"/>
      <c r="S179" s="42"/>
      <c r="T179" s="42"/>
      <c r="V179" s="42"/>
      <c r="W179" s="42"/>
      <c r="Y179" s="42"/>
      <c r="Z179" s="42"/>
    </row>
    <row r="180" spans="1:26" x14ac:dyDescent="0.2">
      <c r="A180" s="42"/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42"/>
      <c r="Q180" s="42"/>
      <c r="R180" s="42"/>
      <c r="S180" s="42"/>
      <c r="T180" s="42"/>
      <c r="V180" s="42"/>
      <c r="W180" s="42"/>
      <c r="Y180" s="42"/>
      <c r="Z180" s="42"/>
    </row>
    <row r="181" spans="1:26" x14ac:dyDescent="0.2">
      <c r="A181" s="42"/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V181" s="42"/>
      <c r="W181" s="42"/>
      <c r="Y181" s="42"/>
      <c r="Z181" s="42"/>
    </row>
    <row r="182" spans="1:26" x14ac:dyDescent="0.2">
      <c r="A182" s="42"/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42"/>
      <c r="Q182" s="42"/>
      <c r="R182" s="42"/>
      <c r="S182" s="42"/>
      <c r="T182" s="42"/>
      <c r="V182" s="42"/>
      <c r="W182" s="42"/>
      <c r="Y182" s="42"/>
      <c r="Z182" s="42"/>
    </row>
    <row r="183" spans="1:26" x14ac:dyDescent="0.2">
      <c r="A183" s="42"/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42"/>
      <c r="Q183" s="42"/>
      <c r="R183" s="42"/>
      <c r="S183" s="42"/>
      <c r="T183" s="42"/>
      <c r="V183" s="42"/>
      <c r="W183" s="42"/>
      <c r="Y183" s="42"/>
      <c r="Z183" s="42"/>
    </row>
    <row r="184" spans="1:26" x14ac:dyDescent="0.2">
      <c r="A184" s="42"/>
      <c r="B184" s="42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42"/>
      <c r="Q184" s="42"/>
      <c r="R184" s="42"/>
      <c r="S184" s="42"/>
      <c r="T184" s="42"/>
      <c r="V184" s="42"/>
      <c r="W184" s="42"/>
      <c r="Y184" s="42"/>
      <c r="Z184" s="42"/>
    </row>
    <row r="185" spans="1:26" x14ac:dyDescent="0.2">
      <c r="A185" s="42"/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42"/>
      <c r="Q185" s="42"/>
      <c r="R185" s="42"/>
      <c r="S185" s="42"/>
      <c r="T185" s="42"/>
      <c r="V185" s="42"/>
      <c r="W185" s="42"/>
      <c r="Y185" s="42"/>
      <c r="Z185" s="42"/>
    </row>
    <row r="186" spans="1:26" x14ac:dyDescent="0.2">
      <c r="A186" s="42"/>
      <c r="B186" s="42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V186" s="42"/>
      <c r="W186" s="42"/>
      <c r="Y186" s="42"/>
      <c r="Z186" s="42"/>
    </row>
    <row r="187" spans="1:26" x14ac:dyDescent="0.2">
      <c r="A187" s="42"/>
      <c r="B187" s="42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42"/>
      <c r="Q187" s="42"/>
      <c r="R187" s="42"/>
      <c r="S187" s="42"/>
      <c r="T187" s="42"/>
      <c r="V187" s="42"/>
      <c r="W187" s="42"/>
      <c r="Y187" s="42"/>
      <c r="Z187" s="42"/>
    </row>
    <row r="188" spans="1:26" x14ac:dyDescent="0.2">
      <c r="A188" s="42"/>
      <c r="B188" s="42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42"/>
      <c r="Q188" s="42"/>
      <c r="R188" s="42"/>
      <c r="S188" s="42"/>
      <c r="T188" s="42"/>
      <c r="V188" s="42"/>
      <c r="W188" s="42"/>
      <c r="Y188" s="42"/>
      <c r="Z188" s="42"/>
    </row>
    <row r="189" spans="1:26" x14ac:dyDescent="0.2">
      <c r="A189" s="42"/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42"/>
      <c r="Q189" s="42"/>
      <c r="R189" s="42"/>
      <c r="S189" s="42"/>
      <c r="T189" s="42"/>
      <c r="V189" s="42"/>
      <c r="W189" s="42"/>
      <c r="Y189" s="42"/>
      <c r="Z189" s="42"/>
    </row>
    <row r="190" spans="1:26" x14ac:dyDescent="0.2">
      <c r="A190" s="42"/>
      <c r="B190" s="42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42"/>
      <c r="Q190" s="42"/>
      <c r="R190" s="42"/>
      <c r="S190" s="42"/>
      <c r="T190" s="42"/>
      <c r="V190" s="42"/>
      <c r="W190" s="42"/>
      <c r="Y190" s="42"/>
      <c r="Z190" s="42"/>
    </row>
    <row r="191" spans="1:26" x14ac:dyDescent="0.2">
      <c r="A191" s="42"/>
      <c r="B191" s="42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42"/>
      <c r="Q191" s="42"/>
      <c r="R191" s="42"/>
      <c r="S191" s="42"/>
      <c r="T191" s="42"/>
      <c r="V191" s="42"/>
      <c r="W191" s="42"/>
      <c r="Y191" s="42"/>
      <c r="Z191" s="42"/>
    </row>
    <row r="192" spans="1:26" x14ac:dyDescent="0.2">
      <c r="A192" s="42"/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42"/>
      <c r="Q192" s="42"/>
      <c r="R192" s="42"/>
      <c r="S192" s="42"/>
      <c r="T192" s="42"/>
      <c r="V192" s="42"/>
      <c r="W192" s="42"/>
      <c r="Y192" s="42"/>
      <c r="Z192" s="42"/>
    </row>
    <row r="193" spans="1:26" x14ac:dyDescent="0.2">
      <c r="A193" s="42"/>
      <c r="B193" s="42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42"/>
      <c r="Q193" s="42"/>
      <c r="R193" s="42"/>
      <c r="S193" s="42"/>
      <c r="T193" s="42"/>
      <c r="V193" s="42"/>
      <c r="W193" s="42"/>
      <c r="Y193" s="42"/>
      <c r="Z193" s="42"/>
    </row>
    <row r="194" spans="1:26" x14ac:dyDescent="0.2">
      <c r="A194" s="42"/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42"/>
      <c r="Q194" s="42"/>
      <c r="R194" s="42"/>
      <c r="S194" s="42"/>
      <c r="T194" s="42"/>
      <c r="V194" s="42"/>
      <c r="W194" s="42"/>
      <c r="Y194" s="42"/>
      <c r="Z194" s="42"/>
    </row>
    <row r="195" spans="1:26" x14ac:dyDescent="0.2">
      <c r="A195" s="42"/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42"/>
      <c r="Q195" s="42"/>
      <c r="R195" s="42"/>
      <c r="S195" s="42"/>
      <c r="T195" s="42"/>
      <c r="V195" s="42"/>
      <c r="W195" s="42"/>
      <c r="Y195" s="42"/>
      <c r="Z195" s="42"/>
    </row>
    <row r="196" spans="1:26" x14ac:dyDescent="0.2">
      <c r="A196" s="42"/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42"/>
      <c r="Q196" s="42"/>
      <c r="R196" s="42"/>
      <c r="S196" s="42"/>
      <c r="T196" s="42"/>
      <c r="V196" s="42"/>
      <c r="W196" s="42"/>
      <c r="Y196" s="42"/>
      <c r="Z196" s="42"/>
    </row>
    <row r="197" spans="1:26" x14ac:dyDescent="0.2">
      <c r="A197" s="42"/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42"/>
      <c r="Q197" s="42"/>
      <c r="R197" s="42"/>
      <c r="S197" s="42"/>
      <c r="T197" s="42"/>
      <c r="V197" s="42"/>
      <c r="W197" s="42"/>
      <c r="Y197" s="42"/>
      <c r="Z197" s="42"/>
    </row>
    <row r="198" spans="1:26" x14ac:dyDescent="0.2">
      <c r="A198" s="42"/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42"/>
      <c r="Q198" s="42"/>
      <c r="R198" s="42"/>
      <c r="S198" s="42"/>
      <c r="T198" s="42"/>
      <c r="V198" s="42"/>
      <c r="W198" s="42"/>
      <c r="Y198" s="42"/>
      <c r="Z198" s="42"/>
    </row>
    <row r="199" spans="1:26" x14ac:dyDescent="0.2">
      <c r="A199" s="42"/>
      <c r="B199" s="42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42"/>
      <c r="Q199" s="42"/>
      <c r="R199" s="42"/>
      <c r="S199" s="42"/>
      <c r="T199" s="42"/>
      <c r="V199" s="42"/>
      <c r="W199" s="42"/>
      <c r="Y199" s="42"/>
      <c r="Z199" s="42"/>
    </row>
    <row r="200" spans="1:26" x14ac:dyDescent="0.2">
      <c r="A200" s="42"/>
      <c r="B200" s="42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42"/>
      <c r="Q200" s="42"/>
      <c r="R200" s="42"/>
      <c r="S200" s="42"/>
      <c r="T200" s="42"/>
      <c r="V200" s="42"/>
      <c r="W200" s="42"/>
      <c r="Y200" s="42"/>
      <c r="Z200" s="42"/>
    </row>
    <row r="201" spans="1:26" x14ac:dyDescent="0.2">
      <c r="A201" s="42"/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42"/>
      <c r="Q201" s="42"/>
      <c r="R201" s="42"/>
      <c r="S201" s="42"/>
      <c r="T201" s="42"/>
      <c r="V201" s="42"/>
      <c r="W201" s="42"/>
      <c r="Y201" s="42"/>
      <c r="Z201" s="42"/>
    </row>
    <row r="202" spans="1:26" x14ac:dyDescent="0.2">
      <c r="A202" s="42"/>
      <c r="B202" s="42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42"/>
      <c r="Q202" s="42"/>
      <c r="R202" s="42"/>
      <c r="S202" s="42"/>
      <c r="T202" s="42"/>
      <c r="V202" s="42"/>
      <c r="W202" s="42"/>
      <c r="Y202" s="42"/>
      <c r="Z202" s="42"/>
    </row>
    <row r="203" spans="1:26" x14ac:dyDescent="0.2">
      <c r="A203" s="42"/>
      <c r="B203" s="42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42"/>
      <c r="Q203" s="42"/>
      <c r="R203" s="42"/>
      <c r="S203" s="42"/>
      <c r="T203" s="42"/>
      <c r="V203" s="42"/>
      <c r="W203" s="42"/>
      <c r="Y203" s="42"/>
      <c r="Z203" s="42"/>
    </row>
    <row r="204" spans="1:26" x14ac:dyDescent="0.2">
      <c r="A204" s="42"/>
      <c r="B204" s="42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42"/>
      <c r="Q204" s="42"/>
      <c r="R204" s="42"/>
      <c r="S204" s="42"/>
      <c r="T204" s="42"/>
      <c r="V204" s="42"/>
      <c r="W204" s="42"/>
      <c r="Y204" s="42"/>
      <c r="Z204" s="42"/>
    </row>
    <row r="205" spans="1:26" x14ac:dyDescent="0.2">
      <c r="A205" s="42"/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42"/>
      <c r="Q205" s="42"/>
      <c r="R205" s="42"/>
      <c r="S205" s="42"/>
      <c r="T205" s="42"/>
      <c r="V205" s="42"/>
      <c r="W205" s="42"/>
      <c r="Y205" s="42"/>
      <c r="Z205" s="42"/>
    </row>
    <row r="206" spans="1:26" x14ac:dyDescent="0.2">
      <c r="A206" s="42"/>
      <c r="B206" s="42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V206" s="42"/>
      <c r="W206" s="42"/>
      <c r="Y206" s="42"/>
      <c r="Z206" s="42"/>
    </row>
    <row r="207" spans="1:26" x14ac:dyDescent="0.2">
      <c r="A207" s="42"/>
      <c r="B207" s="42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42"/>
      <c r="Q207" s="42"/>
      <c r="R207" s="42"/>
      <c r="S207" s="42"/>
      <c r="T207" s="42"/>
      <c r="V207" s="42"/>
      <c r="W207" s="42"/>
      <c r="Y207" s="42"/>
      <c r="Z207" s="42"/>
    </row>
    <row r="208" spans="1:26" x14ac:dyDescent="0.2">
      <c r="A208" s="42"/>
      <c r="B208" s="42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42"/>
      <c r="Q208" s="42"/>
      <c r="R208" s="42"/>
      <c r="S208" s="42"/>
      <c r="T208" s="42"/>
      <c r="V208" s="42"/>
      <c r="W208" s="42"/>
      <c r="Y208" s="42"/>
      <c r="Z208" s="42"/>
    </row>
    <row r="209" spans="1:26" x14ac:dyDescent="0.2">
      <c r="A209" s="42"/>
      <c r="B209" s="42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42"/>
      <c r="Q209" s="42"/>
      <c r="R209" s="42"/>
      <c r="S209" s="42"/>
      <c r="T209" s="42"/>
      <c r="V209" s="42"/>
      <c r="W209" s="42"/>
      <c r="Y209" s="42"/>
      <c r="Z209" s="42"/>
    </row>
    <row r="210" spans="1:26" x14ac:dyDescent="0.2">
      <c r="A210" s="42"/>
      <c r="B210" s="42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42"/>
      <c r="Q210" s="42"/>
      <c r="R210" s="42"/>
      <c r="S210" s="42"/>
      <c r="T210" s="42"/>
      <c r="V210" s="42"/>
      <c r="W210" s="42"/>
      <c r="Y210" s="42"/>
      <c r="Z210" s="42"/>
    </row>
    <row r="211" spans="1:26" x14ac:dyDescent="0.2">
      <c r="A211" s="42"/>
      <c r="B211" s="42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42"/>
      <c r="Q211" s="42"/>
      <c r="R211" s="42"/>
      <c r="S211" s="42"/>
      <c r="T211" s="42"/>
      <c r="V211" s="42"/>
      <c r="W211" s="42"/>
      <c r="Y211" s="42"/>
      <c r="Z211" s="42"/>
    </row>
    <row r="212" spans="1:26" x14ac:dyDescent="0.2">
      <c r="A212" s="42"/>
      <c r="B212" s="42"/>
      <c r="C212" s="42"/>
      <c r="D212" s="42"/>
      <c r="E212" s="42"/>
      <c r="F212" s="42"/>
      <c r="G212" s="42"/>
      <c r="H212" s="42"/>
      <c r="I212" s="42"/>
      <c r="J212" s="42"/>
      <c r="K212" s="42"/>
      <c r="L212" s="42"/>
      <c r="M212" s="42"/>
      <c r="N212" s="42"/>
      <c r="O212" s="42"/>
      <c r="P212" s="42"/>
      <c r="Q212" s="42"/>
      <c r="R212" s="42"/>
      <c r="S212" s="42"/>
      <c r="T212" s="42"/>
      <c r="V212" s="42"/>
      <c r="W212" s="42"/>
      <c r="Y212" s="42"/>
      <c r="Z212" s="42"/>
    </row>
    <row r="213" spans="1:26" x14ac:dyDescent="0.2">
      <c r="A213" s="42"/>
      <c r="B213" s="42"/>
      <c r="C213" s="42"/>
      <c r="D213" s="42"/>
      <c r="E213" s="42"/>
      <c r="F213" s="42"/>
      <c r="G213" s="42"/>
      <c r="H213" s="42"/>
      <c r="I213" s="42"/>
      <c r="J213" s="42"/>
      <c r="K213" s="42"/>
      <c r="L213" s="42"/>
      <c r="M213" s="42"/>
      <c r="N213" s="42"/>
      <c r="O213" s="42"/>
      <c r="P213" s="42"/>
      <c r="Q213" s="42"/>
      <c r="R213" s="42"/>
      <c r="S213" s="42"/>
      <c r="T213" s="42"/>
      <c r="V213" s="42"/>
      <c r="W213" s="42"/>
      <c r="Y213" s="42"/>
      <c r="Z213" s="42"/>
    </row>
    <row r="214" spans="1:26" x14ac:dyDescent="0.2">
      <c r="A214" s="42"/>
      <c r="B214" s="42"/>
      <c r="C214" s="42"/>
      <c r="D214" s="42"/>
      <c r="E214" s="42"/>
      <c r="F214" s="42"/>
      <c r="G214" s="42"/>
      <c r="H214" s="42"/>
      <c r="I214" s="42"/>
      <c r="J214" s="42"/>
      <c r="K214" s="42"/>
      <c r="L214" s="42"/>
      <c r="M214" s="42"/>
      <c r="N214" s="42"/>
      <c r="O214" s="42"/>
      <c r="P214" s="42"/>
      <c r="Q214" s="42"/>
      <c r="R214" s="42"/>
      <c r="S214" s="42"/>
      <c r="T214" s="42"/>
      <c r="V214" s="42"/>
      <c r="W214" s="42"/>
      <c r="Y214" s="42"/>
      <c r="Z214" s="42"/>
    </row>
    <row r="215" spans="1:26" x14ac:dyDescent="0.2">
      <c r="A215" s="42"/>
      <c r="B215" s="42"/>
      <c r="C215" s="42"/>
      <c r="D215" s="42"/>
      <c r="E215" s="42"/>
      <c r="F215" s="42"/>
      <c r="G215" s="42"/>
      <c r="H215" s="42"/>
      <c r="I215" s="42"/>
      <c r="J215" s="42"/>
      <c r="K215" s="42"/>
      <c r="L215" s="42"/>
      <c r="M215" s="42"/>
      <c r="N215" s="42"/>
      <c r="O215" s="42"/>
      <c r="P215" s="42"/>
      <c r="Q215" s="42"/>
      <c r="R215" s="42"/>
      <c r="S215" s="42"/>
      <c r="T215" s="42"/>
      <c r="V215" s="42"/>
      <c r="W215" s="42"/>
      <c r="Y215" s="42"/>
      <c r="Z215" s="42"/>
    </row>
    <row r="216" spans="1:26" x14ac:dyDescent="0.2">
      <c r="A216" s="42"/>
      <c r="B216" s="42"/>
      <c r="C216" s="42"/>
      <c r="D216" s="42"/>
      <c r="E216" s="42"/>
      <c r="F216" s="42"/>
      <c r="G216" s="42"/>
      <c r="H216" s="42"/>
      <c r="I216" s="42"/>
      <c r="J216" s="42"/>
      <c r="K216" s="42"/>
      <c r="L216" s="42"/>
      <c r="M216" s="42"/>
      <c r="N216" s="42"/>
      <c r="O216" s="42"/>
      <c r="P216" s="42"/>
      <c r="Q216" s="42"/>
      <c r="R216" s="42"/>
      <c r="S216" s="42"/>
      <c r="T216" s="42"/>
      <c r="V216" s="42"/>
      <c r="W216" s="42"/>
      <c r="Y216" s="42"/>
      <c r="Z216" s="42"/>
    </row>
    <row r="217" spans="1:26" x14ac:dyDescent="0.2">
      <c r="A217" s="42"/>
      <c r="B217" s="42"/>
      <c r="C217" s="42"/>
      <c r="D217" s="42"/>
      <c r="E217" s="42"/>
      <c r="F217" s="42"/>
      <c r="G217" s="42"/>
      <c r="H217" s="42"/>
      <c r="I217" s="42"/>
      <c r="J217" s="42"/>
      <c r="K217" s="42"/>
      <c r="L217" s="42"/>
      <c r="M217" s="42"/>
      <c r="N217" s="42"/>
      <c r="O217" s="42"/>
      <c r="P217" s="42"/>
      <c r="Q217" s="42"/>
      <c r="R217" s="42"/>
      <c r="S217" s="42"/>
      <c r="T217" s="42"/>
      <c r="V217" s="42"/>
      <c r="W217" s="42"/>
      <c r="Y217" s="42"/>
      <c r="Z217" s="42"/>
    </row>
    <row r="218" spans="1:26" x14ac:dyDescent="0.2">
      <c r="A218" s="42"/>
      <c r="B218" s="42"/>
      <c r="C218" s="42"/>
      <c r="D218" s="42"/>
      <c r="E218" s="42"/>
      <c r="F218" s="42"/>
      <c r="G218" s="42"/>
      <c r="H218" s="42"/>
      <c r="I218" s="42"/>
      <c r="J218" s="42"/>
      <c r="K218" s="42"/>
      <c r="L218" s="42"/>
      <c r="M218" s="42"/>
      <c r="N218" s="42"/>
      <c r="O218" s="42"/>
      <c r="P218" s="42"/>
      <c r="Q218" s="42"/>
      <c r="R218" s="42"/>
      <c r="S218" s="42"/>
      <c r="T218" s="42"/>
      <c r="V218" s="42"/>
      <c r="W218" s="42"/>
      <c r="Y218" s="42"/>
      <c r="Z218" s="42"/>
    </row>
    <row r="219" spans="1:26" x14ac:dyDescent="0.2">
      <c r="A219" s="42"/>
      <c r="B219" s="42"/>
      <c r="C219" s="42"/>
      <c r="D219" s="42"/>
      <c r="E219" s="42"/>
      <c r="F219" s="42"/>
      <c r="G219" s="42"/>
      <c r="H219" s="42"/>
      <c r="I219" s="42"/>
      <c r="J219" s="42"/>
      <c r="K219" s="42"/>
      <c r="L219" s="42"/>
      <c r="M219" s="42"/>
      <c r="N219" s="42"/>
      <c r="O219" s="42"/>
      <c r="P219" s="42"/>
      <c r="Q219" s="42"/>
      <c r="R219" s="42"/>
      <c r="S219" s="42"/>
      <c r="T219" s="42"/>
      <c r="V219" s="42"/>
      <c r="W219" s="42"/>
      <c r="Y219" s="42"/>
      <c r="Z219" s="42"/>
    </row>
    <row r="220" spans="1:26" x14ac:dyDescent="0.2">
      <c r="A220" s="42"/>
      <c r="B220" s="42"/>
      <c r="C220" s="42"/>
      <c r="D220" s="42"/>
      <c r="E220" s="42"/>
      <c r="F220" s="42"/>
      <c r="G220" s="42"/>
      <c r="H220" s="42"/>
      <c r="I220" s="42"/>
      <c r="J220" s="42"/>
      <c r="K220" s="42"/>
      <c r="L220" s="42"/>
      <c r="M220" s="42"/>
      <c r="N220" s="42"/>
      <c r="O220" s="42"/>
      <c r="P220" s="42"/>
      <c r="Q220" s="42"/>
      <c r="R220" s="42"/>
      <c r="S220" s="42"/>
      <c r="T220" s="42"/>
      <c r="V220" s="42"/>
      <c r="W220" s="42"/>
      <c r="Y220" s="42"/>
      <c r="Z220" s="42"/>
    </row>
    <row r="221" spans="1:26" x14ac:dyDescent="0.2">
      <c r="A221" s="42"/>
      <c r="B221" s="42"/>
      <c r="C221" s="42"/>
      <c r="D221" s="42"/>
      <c r="E221" s="42"/>
      <c r="F221" s="42"/>
      <c r="G221" s="42"/>
      <c r="H221" s="42"/>
      <c r="I221" s="42"/>
      <c r="J221" s="42"/>
      <c r="K221" s="42"/>
      <c r="L221" s="42"/>
      <c r="M221" s="42"/>
      <c r="N221" s="42"/>
      <c r="O221" s="42"/>
      <c r="P221" s="42"/>
      <c r="Q221" s="42"/>
      <c r="R221" s="42"/>
      <c r="S221" s="42"/>
      <c r="T221" s="42"/>
      <c r="V221" s="42"/>
      <c r="W221" s="42"/>
      <c r="Y221" s="42"/>
      <c r="Z221" s="42"/>
    </row>
    <row r="222" spans="1:26" x14ac:dyDescent="0.2">
      <c r="A222" s="42"/>
      <c r="B222" s="42"/>
      <c r="C222" s="42"/>
      <c r="D222" s="42"/>
      <c r="E222" s="42"/>
      <c r="F222" s="42"/>
      <c r="G222" s="42"/>
      <c r="H222" s="42"/>
      <c r="I222" s="42"/>
      <c r="J222" s="42"/>
      <c r="K222" s="42"/>
      <c r="L222" s="42"/>
      <c r="M222" s="42"/>
      <c r="N222" s="42"/>
      <c r="O222" s="42"/>
      <c r="P222" s="42"/>
      <c r="Q222" s="42"/>
      <c r="R222" s="42"/>
      <c r="S222" s="42"/>
      <c r="T222" s="42"/>
      <c r="V222" s="42"/>
      <c r="W222" s="42"/>
      <c r="Y222" s="42"/>
      <c r="Z222" s="42"/>
    </row>
    <row r="223" spans="1:26" x14ac:dyDescent="0.2">
      <c r="A223" s="42"/>
      <c r="B223" s="42"/>
      <c r="C223" s="42"/>
      <c r="D223" s="42"/>
      <c r="E223" s="42"/>
      <c r="F223" s="42"/>
      <c r="G223" s="42"/>
      <c r="H223" s="42"/>
      <c r="I223" s="42"/>
      <c r="J223" s="42"/>
      <c r="K223" s="42"/>
      <c r="L223" s="42"/>
      <c r="M223" s="42"/>
      <c r="N223" s="42"/>
      <c r="O223" s="42"/>
      <c r="P223" s="42"/>
      <c r="Q223" s="42"/>
      <c r="R223" s="42"/>
      <c r="S223" s="42"/>
      <c r="T223" s="42"/>
      <c r="V223" s="42"/>
      <c r="W223" s="42"/>
      <c r="Y223" s="42"/>
      <c r="Z223" s="42"/>
    </row>
    <row r="224" spans="1:26" x14ac:dyDescent="0.2">
      <c r="A224" s="42"/>
      <c r="B224" s="42"/>
      <c r="C224" s="42"/>
      <c r="D224" s="42"/>
      <c r="E224" s="42"/>
      <c r="F224" s="42"/>
      <c r="G224" s="42"/>
      <c r="H224" s="42"/>
      <c r="I224" s="42"/>
      <c r="J224" s="42"/>
      <c r="K224" s="42"/>
      <c r="L224" s="42"/>
      <c r="M224" s="42"/>
      <c r="N224" s="42"/>
      <c r="O224" s="42"/>
      <c r="P224" s="42"/>
      <c r="Q224" s="42"/>
      <c r="R224" s="42"/>
      <c r="S224" s="42"/>
      <c r="T224" s="42"/>
      <c r="V224" s="42"/>
      <c r="W224" s="42"/>
      <c r="Y224" s="42"/>
      <c r="Z224" s="42"/>
    </row>
    <row r="225" spans="1:26" x14ac:dyDescent="0.2">
      <c r="A225" s="42"/>
      <c r="B225" s="42"/>
      <c r="C225" s="42"/>
      <c r="D225" s="42"/>
      <c r="E225" s="42"/>
      <c r="F225" s="42"/>
      <c r="G225" s="42"/>
      <c r="H225" s="42"/>
      <c r="I225" s="42"/>
      <c r="J225" s="42"/>
      <c r="K225" s="42"/>
      <c r="L225" s="42"/>
      <c r="M225" s="42"/>
      <c r="N225" s="42"/>
      <c r="O225" s="42"/>
      <c r="P225" s="42"/>
      <c r="Q225" s="42"/>
      <c r="R225" s="42"/>
      <c r="S225" s="42"/>
      <c r="T225" s="42"/>
      <c r="V225" s="42"/>
      <c r="W225" s="42"/>
      <c r="Y225" s="42"/>
      <c r="Z225" s="42"/>
    </row>
    <row r="226" spans="1:26" x14ac:dyDescent="0.2">
      <c r="A226" s="42"/>
      <c r="B226" s="42"/>
      <c r="C226" s="42"/>
      <c r="D226" s="42"/>
      <c r="E226" s="42"/>
      <c r="F226" s="42"/>
      <c r="G226" s="42"/>
      <c r="H226" s="42"/>
      <c r="I226" s="42"/>
      <c r="J226" s="42"/>
      <c r="K226" s="42"/>
      <c r="L226" s="42"/>
      <c r="M226" s="42"/>
      <c r="N226" s="42"/>
      <c r="O226" s="42"/>
      <c r="P226" s="42"/>
      <c r="Q226" s="42"/>
      <c r="R226" s="42"/>
      <c r="S226" s="42"/>
      <c r="T226" s="42"/>
      <c r="V226" s="42"/>
      <c r="W226" s="42"/>
      <c r="Y226" s="42"/>
      <c r="Z226" s="42"/>
    </row>
    <row r="227" spans="1:26" x14ac:dyDescent="0.2">
      <c r="A227" s="42"/>
      <c r="B227" s="42"/>
      <c r="C227" s="42"/>
      <c r="D227" s="42"/>
      <c r="E227" s="42"/>
      <c r="F227" s="42"/>
      <c r="G227" s="42"/>
      <c r="H227" s="42"/>
      <c r="I227" s="42"/>
      <c r="J227" s="42"/>
      <c r="K227" s="42"/>
      <c r="L227" s="42"/>
      <c r="M227" s="42"/>
      <c r="N227" s="42"/>
      <c r="O227" s="42"/>
      <c r="P227" s="42"/>
      <c r="Q227" s="42"/>
      <c r="R227" s="42"/>
      <c r="S227" s="42"/>
      <c r="T227" s="42"/>
      <c r="V227" s="42"/>
      <c r="W227" s="42"/>
      <c r="Y227" s="42"/>
      <c r="Z227" s="42"/>
    </row>
    <row r="228" spans="1:26" x14ac:dyDescent="0.2">
      <c r="A228" s="42"/>
      <c r="B228" s="42"/>
      <c r="C228" s="42"/>
      <c r="D228" s="42"/>
      <c r="E228" s="42"/>
      <c r="F228" s="42"/>
      <c r="G228" s="42"/>
      <c r="H228" s="42"/>
      <c r="I228" s="42"/>
      <c r="J228" s="42"/>
      <c r="K228" s="42"/>
      <c r="L228" s="42"/>
      <c r="M228" s="42"/>
      <c r="N228" s="42"/>
      <c r="O228" s="42"/>
      <c r="P228" s="42"/>
      <c r="Q228" s="42"/>
      <c r="R228" s="42"/>
      <c r="S228" s="42"/>
      <c r="T228" s="42"/>
      <c r="V228" s="42"/>
      <c r="W228" s="42"/>
      <c r="Y228" s="42"/>
      <c r="Z228" s="42"/>
    </row>
    <row r="229" spans="1:26" x14ac:dyDescent="0.2">
      <c r="A229" s="42"/>
      <c r="B229" s="42"/>
      <c r="C229" s="42"/>
      <c r="D229" s="42"/>
      <c r="E229" s="42"/>
      <c r="F229" s="42"/>
      <c r="G229" s="42"/>
      <c r="H229" s="42"/>
      <c r="I229" s="42"/>
      <c r="J229" s="42"/>
      <c r="K229" s="42"/>
      <c r="L229" s="42"/>
      <c r="M229" s="42"/>
      <c r="N229" s="42"/>
      <c r="O229" s="42"/>
      <c r="P229" s="42"/>
      <c r="Q229" s="42"/>
      <c r="R229" s="42"/>
      <c r="S229" s="42"/>
      <c r="T229" s="42"/>
      <c r="V229" s="42"/>
      <c r="W229" s="42"/>
      <c r="Y229" s="42"/>
      <c r="Z229" s="42"/>
    </row>
    <row r="230" spans="1:26" x14ac:dyDescent="0.2">
      <c r="A230" s="42"/>
      <c r="B230" s="42"/>
      <c r="C230" s="42"/>
      <c r="D230" s="42"/>
      <c r="E230" s="42"/>
      <c r="F230" s="42"/>
      <c r="G230" s="42"/>
      <c r="H230" s="42"/>
      <c r="I230" s="42"/>
      <c r="J230" s="42"/>
      <c r="K230" s="42"/>
      <c r="L230" s="42"/>
      <c r="M230" s="42"/>
      <c r="N230" s="42"/>
      <c r="O230" s="42"/>
      <c r="P230" s="42"/>
      <c r="Q230" s="42"/>
      <c r="R230" s="42"/>
      <c r="S230" s="42"/>
      <c r="T230" s="42"/>
      <c r="V230" s="42"/>
      <c r="W230" s="42"/>
      <c r="Y230" s="42"/>
      <c r="Z230" s="42"/>
    </row>
    <row r="231" spans="1:26" x14ac:dyDescent="0.2">
      <c r="J231" s="42"/>
      <c r="L231" s="42"/>
      <c r="N231" s="42"/>
      <c r="O231" s="42"/>
      <c r="Q231" s="42"/>
      <c r="R231" s="42"/>
      <c r="T231" s="42"/>
      <c r="W231" s="42"/>
      <c r="Z231" s="42"/>
    </row>
    <row r="232" spans="1:26" x14ac:dyDescent="0.2">
      <c r="O232" s="42"/>
      <c r="R232" s="42"/>
    </row>
  </sheetData>
  <mergeCells count="131">
    <mergeCell ref="C132:E132"/>
    <mergeCell ref="C124:E124"/>
    <mergeCell ref="B123:N123"/>
    <mergeCell ref="C89:D89"/>
    <mergeCell ref="C88:D88"/>
    <mergeCell ref="C87:D87"/>
    <mergeCell ref="C91:D91"/>
    <mergeCell ref="C96:D96"/>
    <mergeCell ref="C101:D101"/>
    <mergeCell ref="C107:D107"/>
    <mergeCell ref="B94:N94"/>
    <mergeCell ref="C95:D95"/>
    <mergeCell ref="B97:E97"/>
    <mergeCell ref="B99:N99"/>
    <mergeCell ref="C100:D100"/>
    <mergeCell ref="C102:D102"/>
    <mergeCell ref="B103:D103"/>
    <mergeCell ref="B105:N105"/>
    <mergeCell ref="C106:D106"/>
    <mergeCell ref="C108:D108"/>
    <mergeCell ref="C109:D109"/>
    <mergeCell ref="C110:D110"/>
    <mergeCell ref="C111:E111"/>
    <mergeCell ref="B113:N113"/>
    <mergeCell ref="B2:N2"/>
    <mergeCell ref="B3:N3"/>
    <mergeCell ref="B4:N4"/>
    <mergeCell ref="B5:N5"/>
    <mergeCell ref="B6:N6"/>
    <mergeCell ref="C7:E7"/>
    <mergeCell ref="F7:N7"/>
    <mergeCell ref="C8:E8"/>
    <mergeCell ref="F8:N8"/>
    <mergeCell ref="B10:N10"/>
    <mergeCell ref="C11:E11"/>
    <mergeCell ref="F11:N11"/>
    <mergeCell ref="C13:E13"/>
    <mergeCell ref="F13:N13"/>
    <mergeCell ref="F12:N12"/>
    <mergeCell ref="C14:E14"/>
    <mergeCell ref="F14:N14"/>
    <mergeCell ref="C15:E15"/>
    <mergeCell ref="F15:N15"/>
    <mergeCell ref="B17:N17"/>
    <mergeCell ref="B18:C18"/>
    <mergeCell ref="E18:G18"/>
    <mergeCell ref="H18:N18"/>
    <mergeCell ref="B19:C19"/>
    <mergeCell ref="E19:G19"/>
    <mergeCell ref="H19:N19"/>
    <mergeCell ref="B20:N20"/>
    <mergeCell ref="B21:N22"/>
    <mergeCell ref="C23:E23"/>
    <mergeCell ref="F23:N23"/>
    <mergeCell ref="C24:E24"/>
    <mergeCell ref="F24:N24"/>
    <mergeCell ref="C25:E25"/>
    <mergeCell ref="F25:N25"/>
    <mergeCell ref="C26:E26"/>
    <mergeCell ref="F26:N26"/>
    <mergeCell ref="B28:N28"/>
    <mergeCell ref="C29:D29"/>
    <mergeCell ref="C30:D30"/>
    <mergeCell ref="C31:D31"/>
    <mergeCell ref="C32:D32"/>
    <mergeCell ref="C33:D33"/>
    <mergeCell ref="C34:D34"/>
    <mergeCell ref="C35:D35"/>
    <mergeCell ref="C36:D36"/>
    <mergeCell ref="C37:E37"/>
    <mergeCell ref="B39:N39"/>
    <mergeCell ref="B40:N40"/>
    <mergeCell ref="C41:E41"/>
    <mergeCell ref="C42:D42"/>
    <mergeCell ref="C43:D43"/>
    <mergeCell ref="B44:D44"/>
    <mergeCell ref="B46:N46"/>
    <mergeCell ref="C47:D47"/>
    <mergeCell ref="C48:D48"/>
    <mergeCell ref="C49:D49"/>
    <mergeCell ref="C50:D50"/>
    <mergeCell ref="C51:D51"/>
    <mergeCell ref="C52:D52"/>
    <mergeCell ref="C53:D53"/>
    <mergeCell ref="C54:D54"/>
    <mergeCell ref="C55:D55"/>
    <mergeCell ref="B56:D56"/>
    <mergeCell ref="B58:N58"/>
    <mergeCell ref="C59:D59"/>
    <mergeCell ref="C60:D60"/>
    <mergeCell ref="C61:D61"/>
    <mergeCell ref="C62:D62"/>
    <mergeCell ref="C63:D63"/>
    <mergeCell ref="B64:E64"/>
    <mergeCell ref="B66:N66"/>
    <mergeCell ref="C67:D67"/>
    <mergeCell ref="C68:D68"/>
    <mergeCell ref="C69:D69"/>
    <mergeCell ref="C70:D70"/>
    <mergeCell ref="B71:D71"/>
    <mergeCell ref="B73:N73"/>
    <mergeCell ref="C74:D74"/>
    <mergeCell ref="C75:D75"/>
    <mergeCell ref="C76:D76"/>
    <mergeCell ref="C77:D77"/>
    <mergeCell ref="C78:D78"/>
    <mergeCell ref="C79:D79"/>
    <mergeCell ref="C80:D80"/>
    <mergeCell ref="B81:D81"/>
    <mergeCell ref="B83:N83"/>
    <mergeCell ref="B84:N84"/>
    <mergeCell ref="C85:D85"/>
    <mergeCell ref="C86:D86"/>
    <mergeCell ref="C90:D90"/>
    <mergeCell ref="B92:D92"/>
    <mergeCell ref="D129:E129"/>
    <mergeCell ref="C130:E130"/>
    <mergeCell ref="D131:E131"/>
    <mergeCell ref="D125:E125"/>
    <mergeCell ref="D126:E126"/>
    <mergeCell ref="D127:E127"/>
    <mergeCell ref="D128:E128"/>
    <mergeCell ref="C114:D114"/>
    <mergeCell ref="C115:D115"/>
    <mergeCell ref="C116:D116"/>
    <mergeCell ref="C117:D117"/>
    <mergeCell ref="C118:D118"/>
    <mergeCell ref="C119:D119"/>
    <mergeCell ref="C120:D120"/>
    <mergeCell ref="C121:E121"/>
    <mergeCell ref="B122:F122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55" fitToHeight="0" orientation="portrait" r:id="rId1"/>
  <rowBreaks count="1" manualBreakCount="1">
    <brk id="71" min="1" max="9" man="1"/>
  </rowBreaks>
  <colBreaks count="1" manualBreakCount="1">
    <brk id="2" min="1" max="130" man="1"/>
  </col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FE5534-D73D-47D3-807A-ED48D9D8B227}">
  <sheetPr>
    <pageSetUpPr fitToPage="1"/>
  </sheetPr>
  <dimension ref="A1:T232"/>
  <sheetViews>
    <sheetView view="pageBreakPreview" topLeftCell="E41" zoomScaleNormal="100" zoomScaleSheetLayoutView="100" workbookViewId="0">
      <selection activeCell="F11" sqref="F11:N15"/>
    </sheetView>
  </sheetViews>
  <sheetFormatPr defaultRowHeight="12.75" x14ac:dyDescent="0.2"/>
  <cols>
    <col min="1" max="1" width="2.42578125" style="68" customWidth="1"/>
    <col min="2" max="2" width="5.42578125" style="68" customWidth="1"/>
    <col min="3" max="3" width="10.140625" style="68" customWidth="1"/>
    <col min="4" max="4" width="40.42578125" style="68" customWidth="1"/>
    <col min="5" max="5" width="9.7109375" style="68" customWidth="1"/>
    <col min="6" max="6" width="16.140625" style="68" customWidth="1"/>
    <col min="7" max="7" width="9.7109375" style="68" customWidth="1"/>
    <col min="8" max="8" width="16.140625" style="68" customWidth="1"/>
    <col min="9" max="9" width="9.7109375" style="68" customWidth="1"/>
    <col min="10" max="10" width="16.140625" style="68" customWidth="1"/>
    <col min="11" max="11" width="9.7109375" style="68" customWidth="1"/>
    <col min="12" max="12" width="16.140625" style="68" customWidth="1"/>
    <col min="13" max="13" width="9.7109375" style="68" customWidth="1"/>
    <col min="14" max="14" width="16.140625" style="68" customWidth="1"/>
    <col min="15" max="15" width="9.140625" style="68"/>
    <col min="16" max="16" width="9.7109375" style="68" customWidth="1"/>
    <col min="17" max="17" width="16.140625" style="68" customWidth="1"/>
    <col min="18" max="18" width="9.140625" style="68"/>
    <col min="19" max="19" width="9.7109375" style="68" customWidth="1"/>
    <col min="20" max="20" width="16.140625" style="68" customWidth="1"/>
    <col min="21" max="16384" width="9.140625" style="68"/>
  </cols>
  <sheetData>
    <row r="1" spans="1:20" ht="13.5" thickBot="1" x14ac:dyDescent="0.25">
      <c r="A1" s="42"/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</row>
    <row r="2" spans="1:20" ht="15" x14ac:dyDescent="0.25">
      <c r="A2" s="42"/>
      <c r="B2" s="363" t="s">
        <v>17</v>
      </c>
      <c r="C2" s="364"/>
      <c r="D2" s="364"/>
      <c r="E2" s="364"/>
      <c r="F2" s="364"/>
      <c r="G2" s="364"/>
      <c r="H2" s="364"/>
      <c r="I2" s="364"/>
      <c r="J2" s="364"/>
      <c r="K2" s="364"/>
      <c r="L2" s="364"/>
      <c r="M2" s="364"/>
      <c r="N2" s="365"/>
      <c r="O2" s="42"/>
      <c r="P2" s="42"/>
      <c r="Q2" s="42"/>
      <c r="R2" s="42"/>
      <c r="S2" s="42"/>
      <c r="T2" s="42"/>
    </row>
    <row r="3" spans="1:20" ht="15" customHeight="1" x14ac:dyDescent="0.25">
      <c r="A3" s="42"/>
      <c r="B3" s="366" t="s">
        <v>70</v>
      </c>
      <c r="C3" s="367"/>
      <c r="D3" s="367"/>
      <c r="E3" s="367"/>
      <c r="F3" s="367"/>
      <c r="G3" s="367"/>
      <c r="H3" s="367"/>
      <c r="I3" s="367"/>
      <c r="J3" s="367"/>
      <c r="K3" s="367"/>
      <c r="L3" s="367"/>
      <c r="M3" s="367"/>
      <c r="N3" s="368"/>
      <c r="O3" s="42"/>
      <c r="P3" s="42"/>
      <c r="Q3" s="42"/>
      <c r="R3" s="42"/>
      <c r="S3" s="42"/>
      <c r="T3" s="42"/>
    </row>
    <row r="4" spans="1:20" ht="15" customHeight="1" x14ac:dyDescent="0.25">
      <c r="A4" s="42"/>
      <c r="B4" s="366" t="s">
        <v>19</v>
      </c>
      <c r="C4" s="367"/>
      <c r="D4" s="367"/>
      <c r="E4" s="367"/>
      <c r="F4" s="367"/>
      <c r="G4" s="367"/>
      <c r="H4" s="367"/>
      <c r="I4" s="367"/>
      <c r="J4" s="367"/>
      <c r="K4" s="367"/>
      <c r="L4" s="367"/>
      <c r="M4" s="367"/>
      <c r="N4" s="368"/>
      <c r="O4" s="42"/>
      <c r="P4" s="42"/>
      <c r="Q4" s="42"/>
      <c r="R4" s="42"/>
      <c r="S4" s="42"/>
      <c r="T4" s="42"/>
    </row>
    <row r="5" spans="1:20" ht="15.75" thickBot="1" x14ac:dyDescent="0.3">
      <c r="A5" s="42"/>
      <c r="B5" s="366" t="s">
        <v>126</v>
      </c>
      <c r="C5" s="367"/>
      <c r="D5" s="367"/>
      <c r="E5" s="367"/>
      <c r="F5" s="367"/>
      <c r="G5" s="367"/>
      <c r="H5" s="367"/>
      <c r="I5" s="367"/>
      <c r="J5" s="367"/>
      <c r="K5" s="367"/>
      <c r="L5" s="367"/>
      <c r="M5" s="367"/>
      <c r="N5" s="368"/>
      <c r="O5" s="42"/>
      <c r="P5" s="42"/>
      <c r="Q5" s="42"/>
      <c r="R5" s="42"/>
      <c r="S5" s="42"/>
      <c r="T5" s="42"/>
    </row>
    <row r="6" spans="1:20" ht="15.75" thickBot="1" x14ac:dyDescent="0.3">
      <c r="A6" s="42"/>
      <c r="B6" s="369" t="s">
        <v>32</v>
      </c>
      <c r="C6" s="370"/>
      <c r="D6" s="370"/>
      <c r="E6" s="370"/>
      <c r="F6" s="370"/>
      <c r="G6" s="370"/>
      <c r="H6" s="370"/>
      <c r="I6" s="370"/>
      <c r="J6" s="370"/>
      <c r="K6" s="370"/>
      <c r="L6" s="370"/>
      <c r="M6" s="370"/>
      <c r="N6" s="371"/>
      <c r="O6" s="42"/>
      <c r="P6" s="42"/>
      <c r="Q6" s="42"/>
      <c r="R6" s="42"/>
      <c r="S6" s="42"/>
      <c r="T6" s="42"/>
    </row>
    <row r="7" spans="1:20" ht="15.75" thickBot="1" x14ac:dyDescent="0.3">
      <c r="A7" s="42"/>
      <c r="B7" s="41"/>
      <c r="C7" s="372" t="s">
        <v>20</v>
      </c>
      <c r="D7" s="373"/>
      <c r="E7" s="374"/>
      <c r="F7" s="375" t="s">
        <v>221</v>
      </c>
      <c r="G7" s="376"/>
      <c r="H7" s="376"/>
      <c r="I7" s="376"/>
      <c r="J7" s="376"/>
      <c r="K7" s="376"/>
      <c r="L7" s="376"/>
      <c r="M7" s="376"/>
      <c r="N7" s="377"/>
      <c r="O7" s="42"/>
      <c r="P7" s="42"/>
      <c r="Q7" s="42"/>
      <c r="R7" s="42"/>
      <c r="S7" s="42"/>
      <c r="T7" s="42"/>
    </row>
    <row r="8" spans="1:20" ht="15.75" thickBot="1" x14ac:dyDescent="0.3">
      <c r="A8" s="42"/>
      <c r="B8" s="69"/>
      <c r="C8" s="395" t="s">
        <v>72</v>
      </c>
      <c r="D8" s="396"/>
      <c r="E8" s="397"/>
      <c r="F8" s="398" t="s">
        <v>222</v>
      </c>
      <c r="G8" s="399"/>
      <c r="H8" s="399"/>
      <c r="I8" s="399"/>
      <c r="J8" s="399"/>
      <c r="K8" s="399"/>
      <c r="L8" s="399"/>
      <c r="M8" s="399"/>
      <c r="N8" s="400"/>
      <c r="O8" s="42"/>
      <c r="P8" s="42"/>
      <c r="Q8" s="42"/>
      <c r="R8" s="42"/>
      <c r="S8" s="42"/>
      <c r="T8" s="42"/>
    </row>
    <row r="9" spans="1:20" ht="15" thickBot="1" x14ac:dyDescent="0.25">
      <c r="A9" s="42"/>
      <c r="B9" s="42"/>
      <c r="C9" s="1"/>
      <c r="D9" s="42"/>
      <c r="E9" s="42"/>
      <c r="F9" s="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</row>
    <row r="10" spans="1:20" ht="15.75" thickBot="1" x14ac:dyDescent="0.3">
      <c r="A10" s="42"/>
      <c r="B10" s="363" t="s">
        <v>33</v>
      </c>
      <c r="C10" s="364"/>
      <c r="D10" s="364"/>
      <c r="E10" s="364"/>
      <c r="F10" s="364"/>
      <c r="G10" s="364"/>
      <c r="H10" s="364"/>
      <c r="I10" s="364"/>
      <c r="J10" s="364"/>
      <c r="K10" s="364"/>
      <c r="L10" s="364"/>
      <c r="M10" s="364"/>
      <c r="N10" s="365"/>
      <c r="O10" s="42"/>
      <c r="P10" s="42"/>
      <c r="Q10" s="42"/>
      <c r="R10" s="42"/>
      <c r="S10" s="42"/>
      <c r="T10" s="42"/>
    </row>
    <row r="11" spans="1:20" x14ac:dyDescent="0.2">
      <c r="A11" s="42"/>
      <c r="B11" s="70" t="s">
        <v>1</v>
      </c>
      <c r="C11" s="401" t="s">
        <v>21</v>
      </c>
      <c r="D11" s="402"/>
      <c r="E11" s="402"/>
      <c r="F11" s="403">
        <v>43969</v>
      </c>
      <c r="G11" s="404"/>
      <c r="H11" s="404"/>
      <c r="I11" s="404"/>
      <c r="J11" s="404"/>
      <c r="K11" s="404"/>
      <c r="L11" s="404"/>
      <c r="M11" s="404"/>
      <c r="N11" s="405"/>
      <c r="O11" s="42"/>
      <c r="P11" s="42"/>
      <c r="Q11" s="42"/>
      <c r="R11" s="42"/>
      <c r="S11" s="42"/>
      <c r="T11" s="42"/>
    </row>
    <row r="12" spans="1:20" x14ac:dyDescent="0.2">
      <c r="A12" s="42"/>
      <c r="B12" s="197" t="s">
        <v>2</v>
      </c>
      <c r="C12" s="378" t="s">
        <v>244</v>
      </c>
      <c r="D12" s="379"/>
      <c r="E12" s="379"/>
      <c r="F12" s="380">
        <v>45450</v>
      </c>
      <c r="G12" s="407"/>
      <c r="H12" s="407"/>
      <c r="I12" s="407"/>
      <c r="J12" s="407"/>
      <c r="K12" s="407"/>
      <c r="L12" s="407"/>
      <c r="M12" s="407"/>
      <c r="N12" s="408"/>
      <c r="O12" s="42"/>
      <c r="P12" s="42"/>
      <c r="Q12" s="42"/>
      <c r="R12" s="42"/>
      <c r="S12" s="42"/>
      <c r="T12" s="42"/>
    </row>
    <row r="13" spans="1:20" x14ac:dyDescent="0.2">
      <c r="A13" s="42"/>
      <c r="B13" s="71" t="s">
        <v>4</v>
      </c>
      <c r="C13" s="378" t="s">
        <v>3</v>
      </c>
      <c r="D13" s="379"/>
      <c r="E13" s="379"/>
      <c r="F13" s="406" t="s">
        <v>75</v>
      </c>
      <c r="G13" s="407"/>
      <c r="H13" s="407"/>
      <c r="I13" s="407"/>
      <c r="J13" s="407"/>
      <c r="K13" s="407"/>
      <c r="L13" s="407"/>
      <c r="M13" s="407"/>
      <c r="N13" s="408"/>
      <c r="O13" s="42"/>
      <c r="P13" s="42"/>
      <c r="Q13" s="42"/>
      <c r="R13" s="42"/>
      <c r="S13" s="42"/>
      <c r="T13" s="42"/>
    </row>
    <row r="14" spans="1:20" x14ac:dyDescent="0.2">
      <c r="A14" s="42"/>
      <c r="B14" s="71" t="s">
        <v>5</v>
      </c>
      <c r="C14" s="378" t="s">
        <v>22</v>
      </c>
      <c r="D14" s="379"/>
      <c r="E14" s="379"/>
      <c r="F14" s="380" t="s">
        <v>294</v>
      </c>
      <c r="G14" s="381"/>
      <c r="H14" s="381"/>
      <c r="I14" s="381"/>
      <c r="J14" s="381"/>
      <c r="K14" s="381"/>
      <c r="L14" s="381"/>
      <c r="M14" s="381"/>
      <c r="N14" s="382"/>
      <c r="O14" s="42"/>
      <c r="P14" s="42"/>
      <c r="Q14" s="42"/>
      <c r="R14" s="42"/>
      <c r="S14" s="42"/>
      <c r="T14" s="42"/>
    </row>
    <row r="15" spans="1:20" ht="13.5" thickBot="1" x14ac:dyDescent="0.25">
      <c r="A15" s="42"/>
      <c r="B15" s="72" t="s">
        <v>6</v>
      </c>
      <c r="C15" s="383" t="s">
        <v>23</v>
      </c>
      <c r="D15" s="384"/>
      <c r="E15" s="384"/>
      <c r="F15" s="385">
        <v>12</v>
      </c>
      <c r="G15" s="386"/>
      <c r="H15" s="386"/>
      <c r="I15" s="386"/>
      <c r="J15" s="386"/>
      <c r="K15" s="386"/>
      <c r="L15" s="386"/>
      <c r="M15" s="386"/>
      <c r="N15" s="387"/>
      <c r="O15" s="42"/>
      <c r="P15" s="42"/>
      <c r="Q15" s="42"/>
      <c r="R15" s="42"/>
      <c r="S15" s="42"/>
      <c r="T15" s="42"/>
    </row>
    <row r="16" spans="1:20" x14ac:dyDescent="0.2">
      <c r="A16" s="42"/>
      <c r="B16" s="73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</row>
    <row r="17" spans="1:20" ht="15.75" thickBot="1" x14ac:dyDescent="0.3">
      <c r="A17" s="42"/>
      <c r="B17" s="367" t="s">
        <v>34</v>
      </c>
      <c r="C17" s="367"/>
      <c r="D17" s="367"/>
      <c r="E17" s="367"/>
      <c r="F17" s="367"/>
      <c r="G17" s="367"/>
      <c r="H17" s="367"/>
      <c r="I17" s="367"/>
      <c r="J17" s="367"/>
      <c r="K17" s="367"/>
      <c r="L17" s="367"/>
      <c r="M17" s="367"/>
      <c r="N17" s="367"/>
      <c r="O17" s="42"/>
      <c r="P17" s="42"/>
      <c r="Q17" s="42"/>
      <c r="R17" s="42"/>
      <c r="S17" s="42"/>
      <c r="T17" s="42"/>
    </row>
    <row r="18" spans="1:20" ht="13.5" thickBot="1" x14ac:dyDescent="0.25">
      <c r="A18" s="42"/>
      <c r="B18" s="388" t="s">
        <v>24</v>
      </c>
      <c r="C18" s="373"/>
      <c r="D18" s="15" t="s">
        <v>25</v>
      </c>
      <c r="E18" s="389" t="s">
        <v>26</v>
      </c>
      <c r="F18" s="390"/>
      <c r="G18" s="391"/>
      <c r="H18" s="392" t="s">
        <v>62</v>
      </c>
      <c r="I18" s="393"/>
      <c r="J18" s="393"/>
      <c r="K18" s="393"/>
      <c r="L18" s="393"/>
      <c r="M18" s="393"/>
      <c r="N18" s="394"/>
      <c r="O18" s="42"/>
      <c r="P18" s="42"/>
      <c r="Q18" s="42"/>
      <c r="R18" s="42"/>
      <c r="S18" s="42"/>
      <c r="T18" s="42"/>
    </row>
    <row r="19" spans="1:20" x14ac:dyDescent="0.2">
      <c r="A19" s="42"/>
      <c r="B19" s="422" t="s">
        <v>224</v>
      </c>
      <c r="C19" s="423"/>
      <c r="D19" s="140" t="s">
        <v>66</v>
      </c>
      <c r="E19" s="424">
        <v>2</v>
      </c>
      <c r="F19" s="424"/>
      <c r="G19" s="424"/>
      <c r="H19" s="425">
        <v>2</v>
      </c>
      <c r="I19" s="426"/>
      <c r="J19" s="426"/>
      <c r="K19" s="426"/>
      <c r="L19" s="426"/>
      <c r="M19" s="426"/>
      <c r="N19" s="427"/>
      <c r="O19" s="42"/>
      <c r="P19" s="42"/>
      <c r="Q19" s="42"/>
      <c r="R19" s="42"/>
      <c r="S19" s="42"/>
      <c r="T19" s="42"/>
    </row>
    <row r="20" spans="1:20" ht="13.5" thickBot="1" x14ac:dyDescent="0.25">
      <c r="A20" s="42"/>
      <c r="B20" s="383"/>
      <c r="C20" s="384"/>
      <c r="D20" s="384"/>
      <c r="E20" s="384"/>
      <c r="F20" s="384"/>
      <c r="G20" s="384"/>
      <c r="H20" s="384"/>
      <c r="I20" s="384"/>
      <c r="J20" s="384"/>
      <c r="K20" s="384"/>
      <c r="L20" s="384"/>
      <c r="M20" s="384"/>
      <c r="N20" s="451"/>
      <c r="O20" s="42"/>
      <c r="P20" s="42"/>
      <c r="Q20" s="42"/>
      <c r="R20" s="42"/>
      <c r="S20" s="42"/>
      <c r="T20" s="42"/>
    </row>
    <row r="21" spans="1:20" ht="12.75" customHeight="1" x14ac:dyDescent="0.2">
      <c r="A21" s="42"/>
      <c r="B21" s="431" t="s">
        <v>27</v>
      </c>
      <c r="C21" s="431"/>
      <c r="D21" s="431"/>
      <c r="E21" s="431"/>
      <c r="F21" s="431"/>
      <c r="G21" s="431"/>
      <c r="H21" s="431"/>
      <c r="I21" s="431"/>
      <c r="J21" s="431"/>
      <c r="K21" s="431"/>
      <c r="L21" s="431"/>
      <c r="M21" s="431"/>
      <c r="N21" s="431"/>
      <c r="O21" s="42"/>
      <c r="P21" s="42"/>
      <c r="Q21" s="42"/>
      <c r="R21" s="42"/>
      <c r="S21" s="42"/>
      <c r="T21" s="42"/>
    </row>
    <row r="22" spans="1:20" ht="13.5" customHeight="1" thickBot="1" x14ac:dyDescent="0.25">
      <c r="A22" s="42"/>
      <c r="B22" s="431"/>
      <c r="C22" s="431"/>
      <c r="D22" s="431"/>
      <c r="E22" s="431"/>
      <c r="F22" s="431"/>
      <c r="G22" s="431"/>
      <c r="H22" s="431"/>
      <c r="I22" s="431"/>
      <c r="J22" s="431"/>
      <c r="K22" s="431"/>
      <c r="L22" s="431"/>
      <c r="M22" s="431"/>
      <c r="N22" s="431"/>
      <c r="O22" s="42"/>
      <c r="P22" s="42"/>
      <c r="Q22" s="42"/>
      <c r="R22" s="42"/>
      <c r="S22" s="42"/>
      <c r="T22" s="42"/>
    </row>
    <row r="23" spans="1:20" x14ac:dyDescent="0.2">
      <c r="A23" s="42"/>
      <c r="B23" s="74">
        <v>1</v>
      </c>
      <c r="C23" s="432" t="s">
        <v>28</v>
      </c>
      <c r="D23" s="433"/>
      <c r="E23" s="434"/>
      <c r="F23" s="435" t="str">
        <f>B19</f>
        <v>Vigilante Noturno 12x36 Desarmado</v>
      </c>
      <c r="G23" s="436"/>
      <c r="H23" s="436"/>
      <c r="I23" s="436"/>
      <c r="J23" s="436"/>
      <c r="K23" s="436"/>
      <c r="L23" s="436"/>
      <c r="M23" s="436"/>
      <c r="N23" s="437"/>
      <c r="O23" s="42"/>
      <c r="P23" s="42"/>
      <c r="Q23" s="42"/>
      <c r="R23" s="42"/>
      <c r="S23" s="42"/>
      <c r="T23" s="42"/>
    </row>
    <row r="24" spans="1:20" x14ac:dyDescent="0.2">
      <c r="A24" s="42"/>
      <c r="B24" s="75">
        <v>2</v>
      </c>
      <c r="C24" s="409" t="s">
        <v>29</v>
      </c>
      <c r="D24" s="410"/>
      <c r="E24" s="411"/>
      <c r="F24" s="412">
        <v>2723.41</v>
      </c>
      <c r="G24" s="413"/>
      <c r="H24" s="413"/>
      <c r="I24" s="413"/>
      <c r="J24" s="413"/>
      <c r="K24" s="413"/>
      <c r="L24" s="413"/>
      <c r="M24" s="413"/>
      <c r="N24" s="414"/>
      <c r="O24" s="42"/>
      <c r="P24" s="42"/>
      <c r="Q24" s="42"/>
      <c r="R24" s="42"/>
      <c r="S24" s="42"/>
      <c r="T24" s="42"/>
    </row>
    <row r="25" spans="1:20" x14ac:dyDescent="0.2">
      <c r="A25" s="42"/>
      <c r="B25" s="75">
        <v>3</v>
      </c>
      <c r="C25" s="409" t="s">
        <v>30</v>
      </c>
      <c r="D25" s="410"/>
      <c r="E25" s="411"/>
      <c r="F25" s="409"/>
      <c r="G25" s="410"/>
      <c r="H25" s="410"/>
      <c r="I25" s="410"/>
      <c r="J25" s="410"/>
      <c r="K25" s="410"/>
      <c r="L25" s="410"/>
      <c r="M25" s="410"/>
      <c r="N25" s="415"/>
      <c r="O25" s="42"/>
      <c r="P25" s="42"/>
      <c r="Q25" s="42"/>
      <c r="R25" s="42"/>
      <c r="S25" s="42"/>
      <c r="T25" s="42"/>
    </row>
    <row r="26" spans="1:20" ht="13.5" thickBot="1" x14ac:dyDescent="0.25">
      <c r="A26" s="42"/>
      <c r="B26" s="76">
        <v>4</v>
      </c>
      <c r="C26" s="416" t="s">
        <v>9</v>
      </c>
      <c r="D26" s="417"/>
      <c r="E26" s="418"/>
      <c r="F26" s="419" t="s">
        <v>293</v>
      </c>
      <c r="G26" s="420"/>
      <c r="H26" s="420"/>
      <c r="I26" s="420"/>
      <c r="J26" s="420"/>
      <c r="K26" s="420"/>
      <c r="L26" s="420"/>
      <c r="M26" s="420"/>
      <c r="N26" s="421"/>
      <c r="O26" s="42"/>
      <c r="P26" s="42"/>
      <c r="Q26" s="42"/>
      <c r="R26" s="42"/>
      <c r="S26" s="42"/>
      <c r="T26" s="42"/>
    </row>
    <row r="27" spans="1:20" ht="13.5" thickBot="1" x14ac:dyDescent="0.25">
      <c r="A27" s="42"/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</row>
    <row r="28" spans="1:20" ht="15.75" thickBot="1" x14ac:dyDescent="0.3">
      <c r="A28" s="42"/>
      <c r="B28" s="369" t="s">
        <v>82</v>
      </c>
      <c r="C28" s="370"/>
      <c r="D28" s="370"/>
      <c r="E28" s="370"/>
      <c r="F28" s="370"/>
      <c r="G28" s="370"/>
      <c r="H28" s="370"/>
      <c r="I28" s="370"/>
      <c r="J28" s="370"/>
      <c r="K28" s="370"/>
      <c r="L28" s="370"/>
      <c r="M28" s="370"/>
      <c r="N28" s="371"/>
      <c r="O28" s="42"/>
      <c r="P28" s="42"/>
      <c r="Q28" s="42"/>
      <c r="R28" s="42"/>
      <c r="S28" s="42"/>
      <c r="T28" s="42"/>
    </row>
    <row r="29" spans="1:20" ht="28.5" customHeight="1" thickBot="1" x14ac:dyDescent="0.3">
      <c r="A29" s="42"/>
      <c r="B29" s="65">
        <v>1</v>
      </c>
      <c r="C29" s="441" t="s">
        <v>57</v>
      </c>
      <c r="D29" s="442"/>
      <c r="E29" s="86"/>
      <c r="F29" s="66" t="s">
        <v>245</v>
      </c>
      <c r="G29" s="86"/>
      <c r="H29" s="202" t="s">
        <v>243</v>
      </c>
      <c r="I29" s="86"/>
      <c r="J29" s="202" t="s">
        <v>242</v>
      </c>
      <c r="K29" s="86"/>
      <c r="L29" s="202" t="s">
        <v>270</v>
      </c>
      <c r="M29" s="86"/>
      <c r="N29" s="202" t="s">
        <v>292</v>
      </c>
      <c r="O29" s="42"/>
      <c r="P29" s="86"/>
      <c r="Q29" s="202" t="s">
        <v>271</v>
      </c>
      <c r="R29" s="42"/>
      <c r="S29" s="86"/>
      <c r="T29" s="263" t="s">
        <v>276</v>
      </c>
    </row>
    <row r="30" spans="1:20" x14ac:dyDescent="0.2">
      <c r="A30" s="42"/>
      <c r="B30" s="74" t="s">
        <v>1</v>
      </c>
      <c r="C30" s="443" t="s">
        <v>31</v>
      </c>
      <c r="D30" s="444"/>
      <c r="E30" s="77"/>
      <c r="F30" s="78">
        <v>2192.65</v>
      </c>
      <c r="G30" s="32"/>
      <c r="H30" s="33">
        <v>2258.4299999999998</v>
      </c>
      <c r="I30" s="32"/>
      <c r="J30" s="33">
        <v>2450.39</v>
      </c>
      <c r="K30" s="32"/>
      <c r="L30" s="33">
        <v>2593.73</v>
      </c>
      <c r="M30" s="32"/>
      <c r="N30" s="309">
        <f>F24</f>
        <v>2723.41</v>
      </c>
      <c r="O30" s="42"/>
      <c r="P30" s="32"/>
      <c r="Q30" s="33">
        <v>2593.73</v>
      </c>
      <c r="R30" s="42"/>
      <c r="S30" s="32"/>
      <c r="T30" s="33">
        <v>0</v>
      </c>
    </row>
    <row r="31" spans="1:20" x14ac:dyDescent="0.2">
      <c r="A31" s="42"/>
      <c r="B31" s="75" t="s">
        <v>2</v>
      </c>
      <c r="C31" s="409" t="s">
        <v>73</v>
      </c>
      <c r="D31" s="411"/>
      <c r="E31" s="51">
        <v>0.3</v>
      </c>
      <c r="F31" s="35">
        <f>F30*E31</f>
        <v>657.79499999999996</v>
      </c>
      <c r="G31" s="34">
        <v>0.3</v>
      </c>
      <c r="H31" s="35">
        <f>H30*G31</f>
        <v>677.52899999999988</v>
      </c>
      <c r="I31" s="36">
        <v>0.3</v>
      </c>
      <c r="J31" s="37">
        <f>J30*I31</f>
        <v>735.11699999999996</v>
      </c>
      <c r="K31" s="36">
        <v>0.3</v>
      </c>
      <c r="L31" s="37">
        <f>L30*K31</f>
        <v>778.11900000000003</v>
      </c>
      <c r="M31" s="36">
        <v>0.3</v>
      </c>
      <c r="N31" s="37">
        <f>N30*M31</f>
        <v>817.02299999999991</v>
      </c>
      <c r="O31" s="42"/>
      <c r="P31" s="36">
        <v>0.3</v>
      </c>
      <c r="Q31" s="37">
        <f>Q30*P31</f>
        <v>778.11900000000003</v>
      </c>
      <c r="R31" s="42"/>
      <c r="S31" s="36">
        <v>0.3</v>
      </c>
      <c r="T31" s="37">
        <f>T30*S31</f>
        <v>0</v>
      </c>
    </row>
    <row r="32" spans="1:20" x14ac:dyDescent="0.2">
      <c r="A32" s="42"/>
      <c r="B32" s="75" t="s">
        <v>4</v>
      </c>
      <c r="C32" s="409" t="s">
        <v>74</v>
      </c>
      <c r="D32" s="411"/>
      <c r="E32" s="51"/>
      <c r="F32" s="35"/>
      <c r="G32" s="34"/>
      <c r="H32" s="35"/>
      <c r="I32" s="36"/>
      <c r="J32" s="38"/>
      <c r="K32" s="36"/>
      <c r="L32" s="38"/>
      <c r="M32" s="36"/>
      <c r="N32" s="38"/>
      <c r="O32" s="42"/>
      <c r="P32" s="36"/>
      <c r="Q32" s="38"/>
      <c r="R32" s="42"/>
      <c r="S32" s="36"/>
      <c r="T32" s="38"/>
    </row>
    <row r="33" spans="1:20" x14ac:dyDescent="0.2">
      <c r="A33" s="42"/>
      <c r="B33" s="75" t="s">
        <v>5</v>
      </c>
      <c r="C33" s="409" t="s">
        <v>10</v>
      </c>
      <c r="D33" s="411"/>
      <c r="E33" s="188">
        <v>0.2</v>
      </c>
      <c r="F33" s="35">
        <f>(F30+F31)/220*E33*7*15</f>
        <v>272.08793181818186</v>
      </c>
      <c r="G33" s="188">
        <v>0.2</v>
      </c>
      <c r="H33" s="35">
        <f>(H30+H31)/220*G33*7*15</f>
        <v>280.25063181818183</v>
      </c>
      <c r="I33" s="188">
        <v>0.2</v>
      </c>
      <c r="J33" s="37">
        <f>(J30+J31)/220*I33*7*15</f>
        <v>304.07112272727272</v>
      </c>
      <c r="K33" s="188">
        <v>0.2</v>
      </c>
      <c r="L33" s="37">
        <f>(L30+L31)/220*K33*7*15</f>
        <v>321.85831363636368</v>
      </c>
      <c r="M33" s="188">
        <v>0.2</v>
      </c>
      <c r="N33" s="37">
        <f>(N30+N31)/220*M33*7*15</f>
        <v>337.95042272727272</v>
      </c>
      <c r="O33" s="42"/>
      <c r="P33" s="188">
        <v>0.2</v>
      </c>
      <c r="Q33" s="37">
        <f>(Q30+Q31)/220*P33*7*15</f>
        <v>321.85831363636368</v>
      </c>
      <c r="R33" s="42"/>
      <c r="S33" s="188">
        <v>0.2</v>
      </c>
      <c r="T33" s="37">
        <f>(T30+T31)/220*S33*7*15</f>
        <v>0</v>
      </c>
    </row>
    <row r="34" spans="1:20" x14ac:dyDescent="0.2">
      <c r="A34" s="42"/>
      <c r="B34" s="75" t="s">
        <v>6</v>
      </c>
      <c r="C34" s="409" t="s">
        <v>80</v>
      </c>
      <c r="D34" s="411"/>
      <c r="E34" s="188">
        <v>0.2</v>
      </c>
      <c r="F34" s="35">
        <f>(F30+F31)/220*E33*1*15</f>
        <v>38.869704545454553</v>
      </c>
      <c r="G34" s="188">
        <v>0.2</v>
      </c>
      <c r="H34" s="35">
        <f>(H30+H31)/220*G33*1*15</f>
        <v>40.035804545454546</v>
      </c>
      <c r="I34" s="188">
        <v>0.2</v>
      </c>
      <c r="J34" s="37">
        <f>(J30+J31)/220*I33*1*15</f>
        <v>43.438731818181815</v>
      </c>
      <c r="K34" s="188">
        <v>0.2</v>
      </c>
      <c r="L34" s="37">
        <f>(L30+L31)/220*K33*1*15</f>
        <v>45.979759090909099</v>
      </c>
      <c r="M34" s="188">
        <v>0.2</v>
      </c>
      <c r="N34" s="37">
        <f>(N30+N31)/220*M33*1*15</f>
        <v>48.278631818181822</v>
      </c>
      <c r="O34" s="42"/>
      <c r="P34" s="188">
        <v>0.2</v>
      </c>
      <c r="Q34" s="37">
        <f>(Q30+Q31)/220*P33*1*15</f>
        <v>45.979759090909099</v>
      </c>
      <c r="R34" s="42"/>
      <c r="S34" s="188">
        <v>0.2</v>
      </c>
      <c r="T34" s="37">
        <f>(T30+T31)/220*S33*1*15</f>
        <v>0</v>
      </c>
    </row>
    <row r="35" spans="1:20" x14ac:dyDescent="0.2">
      <c r="A35" s="42"/>
      <c r="B35" s="75" t="s">
        <v>7</v>
      </c>
      <c r="C35" s="409" t="s">
        <v>81</v>
      </c>
      <c r="D35" s="411"/>
      <c r="E35" s="35"/>
      <c r="F35" s="35"/>
      <c r="G35" s="37"/>
      <c r="H35" s="37"/>
      <c r="I35" s="39"/>
      <c r="J35" s="38"/>
      <c r="K35" s="39"/>
      <c r="L35" s="38"/>
      <c r="M35" s="39"/>
      <c r="N35" s="38"/>
      <c r="O35" s="42"/>
      <c r="P35" s="39"/>
      <c r="Q35" s="38"/>
      <c r="R35" s="42"/>
      <c r="S35" s="39"/>
      <c r="T35" s="38"/>
    </row>
    <row r="36" spans="1:20" ht="13.5" thickBot="1" x14ac:dyDescent="0.25">
      <c r="A36" s="42"/>
      <c r="B36" s="76" t="s">
        <v>12</v>
      </c>
      <c r="C36" s="416" t="s">
        <v>11</v>
      </c>
      <c r="D36" s="418"/>
      <c r="E36" s="40"/>
      <c r="F36" s="40"/>
      <c r="G36" s="40"/>
      <c r="H36" s="40"/>
      <c r="I36" s="40"/>
      <c r="J36" s="45"/>
      <c r="K36" s="40"/>
      <c r="L36" s="45"/>
      <c r="M36" s="40"/>
      <c r="N36" s="45"/>
      <c r="O36" s="42"/>
      <c r="P36" s="40"/>
      <c r="Q36" s="45"/>
      <c r="R36" s="42"/>
      <c r="S36" s="40"/>
      <c r="T36" s="45"/>
    </row>
    <row r="37" spans="1:20" ht="15.75" thickBot="1" x14ac:dyDescent="0.3">
      <c r="A37" s="42"/>
      <c r="B37" s="41"/>
      <c r="C37" s="438" t="s">
        <v>40</v>
      </c>
      <c r="D37" s="439"/>
      <c r="E37" s="440"/>
      <c r="F37" s="13">
        <f>ROUND(SUM(F30:F36),2)</f>
        <v>3161.4</v>
      </c>
      <c r="G37" s="41"/>
      <c r="H37" s="13">
        <f>ROUND(SUM(H30:H36),2)</f>
        <v>3256.25</v>
      </c>
      <c r="I37" s="41"/>
      <c r="J37" s="5">
        <f>ROUND(SUM(J30:J36),2)</f>
        <v>3533.02</v>
      </c>
      <c r="K37" s="41"/>
      <c r="L37" s="5">
        <f>ROUND(SUM(L30:L36),2)</f>
        <v>3739.69</v>
      </c>
      <c r="M37" s="41"/>
      <c r="N37" s="5">
        <f>ROUND(SUM(N30:N36),2)</f>
        <v>3926.66</v>
      </c>
      <c r="O37" s="42"/>
      <c r="P37" s="41"/>
      <c r="Q37" s="5">
        <f>ROUND(SUM(Q30:Q36),2)</f>
        <v>3739.69</v>
      </c>
      <c r="R37" s="42"/>
      <c r="S37" s="41"/>
      <c r="T37" s="5">
        <f>ROUND(SUM(T30:T36),2)</f>
        <v>0</v>
      </c>
    </row>
    <row r="38" spans="1:20" ht="13.5" thickBot="1" x14ac:dyDescent="0.25">
      <c r="A38" s="42"/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</row>
    <row r="39" spans="1:20" ht="15.75" thickBot="1" x14ac:dyDescent="0.3">
      <c r="A39" s="42"/>
      <c r="B39" s="369" t="s">
        <v>83</v>
      </c>
      <c r="C39" s="370"/>
      <c r="D39" s="370"/>
      <c r="E39" s="370"/>
      <c r="F39" s="370"/>
      <c r="G39" s="370"/>
      <c r="H39" s="370"/>
      <c r="I39" s="370"/>
      <c r="J39" s="370"/>
      <c r="K39" s="370"/>
      <c r="L39" s="370"/>
      <c r="M39" s="370"/>
      <c r="N39" s="371"/>
      <c r="O39" s="42"/>
      <c r="P39" s="42"/>
      <c r="Q39" s="42"/>
      <c r="R39" s="42"/>
      <c r="S39" s="42"/>
      <c r="T39" s="42"/>
    </row>
    <row r="40" spans="1:20" ht="15.75" thickBot="1" x14ac:dyDescent="0.3">
      <c r="A40" s="42"/>
      <c r="B40" s="369" t="s">
        <v>85</v>
      </c>
      <c r="C40" s="370"/>
      <c r="D40" s="370"/>
      <c r="E40" s="370"/>
      <c r="F40" s="370"/>
      <c r="G40" s="370"/>
      <c r="H40" s="370"/>
      <c r="I40" s="370"/>
      <c r="J40" s="370"/>
      <c r="K40" s="370"/>
      <c r="L40" s="370"/>
      <c r="M40" s="370"/>
      <c r="N40" s="371"/>
      <c r="O40" s="42"/>
      <c r="P40" s="42"/>
      <c r="Q40" s="42"/>
      <c r="R40" s="42"/>
      <c r="S40" s="42"/>
      <c r="T40" s="42"/>
    </row>
    <row r="41" spans="1:20" ht="15.75" thickBot="1" x14ac:dyDescent="0.3">
      <c r="A41" s="42"/>
      <c r="B41" s="94" t="s">
        <v>84</v>
      </c>
      <c r="C41" s="441" t="s">
        <v>86</v>
      </c>
      <c r="D41" s="442"/>
      <c r="E41" s="447"/>
      <c r="F41" s="66" t="s">
        <v>77</v>
      </c>
      <c r="G41" s="86"/>
      <c r="H41" s="66" t="s">
        <v>78</v>
      </c>
      <c r="I41" s="86"/>
      <c r="J41" s="66" t="s">
        <v>79</v>
      </c>
      <c r="K41" s="86"/>
      <c r="L41" s="66" t="s">
        <v>79</v>
      </c>
      <c r="M41" s="86"/>
      <c r="N41" s="66" t="s">
        <v>79</v>
      </c>
      <c r="O41" s="42"/>
      <c r="P41" s="86"/>
      <c r="Q41" s="66" t="s">
        <v>79</v>
      </c>
      <c r="R41" s="42"/>
      <c r="S41" s="86"/>
      <c r="T41" s="66" t="s">
        <v>79</v>
      </c>
    </row>
    <row r="42" spans="1:20" x14ac:dyDescent="0.2">
      <c r="A42" s="42"/>
      <c r="B42" s="70" t="s">
        <v>1</v>
      </c>
      <c r="C42" s="432" t="s">
        <v>87</v>
      </c>
      <c r="D42" s="445"/>
      <c r="E42" s="88">
        <f>ROUND(1/12,4)</f>
        <v>8.3299999999999999E-2</v>
      </c>
      <c r="F42" s="43">
        <f>E42*F37</f>
        <v>263.34462000000002</v>
      </c>
      <c r="G42" s="88">
        <f>ROUND(1/12,4)</f>
        <v>8.3299999999999999E-2</v>
      </c>
      <c r="H42" s="43">
        <f>G42*H37</f>
        <v>271.24562500000002</v>
      </c>
      <c r="I42" s="88">
        <f>ROUND(1/12,4)</f>
        <v>8.3299999999999999E-2</v>
      </c>
      <c r="J42" s="44">
        <f>I42*J37</f>
        <v>294.300566</v>
      </c>
      <c r="K42" s="88">
        <f>ROUND(1/12,4)</f>
        <v>8.3299999999999999E-2</v>
      </c>
      <c r="L42" s="44">
        <f>K42*L37</f>
        <v>311.51617700000003</v>
      </c>
      <c r="M42" s="88">
        <f>ROUND(1/12,4)</f>
        <v>8.3299999999999999E-2</v>
      </c>
      <c r="N42" s="44">
        <f>M42*N37</f>
        <v>327.090778</v>
      </c>
      <c r="O42" s="42"/>
      <c r="P42" s="88">
        <v>0</v>
      </c>
      <c r="Q42" s="44">
        <f>P42*Q37</f>
        <v>0</v>
      </c>
      <c r="R42" s="42"/>
      <c r="S42" s="88">
        <v>0</v>
      </c>
      <c r="T42" s="44">
        <f>S42*T37</f>
        <v>0</v>
      </c>
    </row>
    <row r="43" spans="1:20" ht="13.5" thickBot="1" x14ac:dyDescent="0.25">
      <c r="A43" s="42"/>
      <c r="B43" s="71" t="s">
        <v>2</v>
      </c>
      <c r="C43" s="409" t="s">
        <v>88</v>
      </c>
      <c r="D43" s="415"/>
      <c r="E43" s="89">
        <f>ROUND(1/11+1/11*1/3,3)</f>
        <v>0.121</v>
      </c>
      <c r="F43" s="35">
        <f>E43*F37</f>
        <v>382.52940000000001</v>
      </c>
      <c r="G43" s="89">
        <f>ROUND(1/11+1/11*1/3,3)</f>
        <v>0.121</v>
      </c>
      <c r="H43" s="35">
        <f>G43*H37</f>
        <v>394.00624999999997</v>
      </c>
      <c r="I43" s="89">
        <f>ROUND(1/11+1/11*1/3,3)</f>
        <v>0.121</v>
      </c>
      <c r="J43" s="35">
        <f>I43*J37</f>
        <v>427.49541999999997</v>
      </c>
      <c r="K43" s="89">
        <f>ROUND(1/11+1/11*1/3,3)</f>
        <v>0.121</v>
      </c>
      <c r="L43" s="35">
        <f>K43*L37</f>
        <v>452.50248999999997</v>
      </c>
      <c r="M43" s="89">
        <f>ROUND(1/11+1/11*1/3,3)</f>
        <v>0.121</v>
      </c>
      <c r="N43" s="35">
        <f>M43*N37</f>
        <v>475.12585999999999</v>
      </c>
      <c r="O43" s="42"/>
      <c r="P43" s="89">
        <v>0</v>
      </c>
      <c r="Q43" s="35">
        <f>P43*Q37</f>
        <v>0</v>
      </c>
      <c r="R43" s="42"/>
      <c r="S43" s="89">
        <f>ROUND(1/11+1/11*1/3,3)</f>
        <v>0.121</v>
      </c>
      <c r="T43" s="35">
        <f>N37+N37/3</f>
        <v>5235.5466666666662</v>
      </c>
    </row>
    <row r="44" spans="1:20" ht="13.5" customHeight="1" thickBot="1" x14ac:dyDescent="0.25">
      <c r="A44" s="42"/>
      <c r="B44" s="448" t="s">
        <v>16</v>
      </c>
      <c r="C44" s="449"/>
      <c r="D44" s="450"/>
      <c r="E44" s="90">
        <f>E42+E43</f>
        <v>0.20429999999999998</v>
      </c>
      <c r="F44" s="11">
        <f>SUM(F42:F43)</f>
        <v>645.87401999999997</v>
      </c>
      <c r="G44" s="90">
        <f>G42+G43</f>
        <v>0.20429999999999998</v>
      </c>
      <c r="H44" s="11">
        <f>SUM(H42:H43)</f>
        <v>665.25187499999993</v>
      </c>
      <c r="I44" s="90">
        <f>I42+I43</f>
        <v>0.20429999999999998</v>
      </c>
      <c r="J44" s="11">
        <f>SUM(J42:J43)</f>
        <v>721.79598599999997</v>
      </c>
      <c r="K44" s="90">
        <f>K42+K43</f>
        <v>0.20429999999999998</v>
      </c>
      <c r="L44" s="11">
        <f>SUM(L42:L43)</f>
        <v>764.01866700000005</v>
      </c>
      <c r="M44" s="90">
        <f>M42+M43</f>
        <v>0.20429999999999998</v>
      </c>
      <c r="N44" s="11">
        <f>SUM(N42:N43)</f>
        <v>802.21663799999999</v>
      </c>
      <c r="O44" s="42"/>
      <c r="P44" s="90">
        <f>P42+P43</f>
        <v>0</v>
      </c>
      <c r="Q44" s="11">
        <f>SUM(Q42:Q43)</f>
        <v>0</v>
      </c>
      <c r="R44" s="42"/>
      <c r="S44" s="90">
        <f>S42+S43</f>
        <v>0.121</v>
      </c>
      <c r="T44" s="11">
        <f>SUM(T42:T43)</f>
        <v>5235.5466666666662</v>
      </c>
    </row>
    <row r="45" spans="1:20" ht="13.5" thickBot="1" x14ac:dyDescent="0.25">
      <c r="A45" s="42"/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</row>
    <row r="46" spans="1:20" ht="15.75" thickBot="1" x14ac:dyDescent="0.3">
      <c r="A46" s="42"/>
      <c r="B46" s="369" t="s">
        <v>89</v>
      </c>
      <c r="C46" s="370"/>
      <c r="D46" s="370"/>
      <c r="E46" s="370"/>
      <c r="F46" s="370"/>
      <c r="G46" s="370"/>
      <c r="H46" s="370"/>
      <c r="I46" s="370"/>
      <c r="J46" s="370"/>
      <c r="K46" s="370"/>
      <c r="L46" s="370"/>
      <c r="M46" s="370"/>
      <c r="N46" s="371"/>
      <c r="O46" s="42"/>
      <c r="P46" s="42"/>
      <c r="Q46" s="42"/>
      <c r="R46" s="42"/>
      <c r="S46" s="42"/>
      <c r="T46" s="42"/>
    </row>
    <row r="47" spans="1:20" ht="15.75" thickBot="1" x14ac:dyDescent="0.3">
      <c r="A47" s="42"/>
      <c r="B47" s="65" t="s">
        <v>90</v>
      </c>
      <c r="C47" s="369" t="s">
        <v>91</v>
      </c>
      <c r="D47" s="371"/>
      <c r="E47" s="7"/>
      <c r="F47" s="66" t="s">
        <v>77</v>
      </c>
      <c r="G47" s="86"/>
      <c r="H47" s="66" t="s">
        <v>78</v>
      </c>
      <c r="I47" s="86"/>
      <c r="J47" s="66" t="s">
        <v>79</v>
      </c>
      <c r="K47" s="86"/>
      <c r="L47" s="66" t="s">
        <v>79</v>
      </c>
      <c r="M47" s="86"/>
      <c r="N47" s="66" t="s">
        <v>79</v>
      </c>
      <c r="O47" s="42"/>
      <c r="P47" s="86"/>
      <c r="Q47" s="66" t="s">
        <v>79</v>
      </c>
      <c r="R47" s="42"/>
      <c r="S47" s="86"/>
      <c r="T47" s="66" t="s">
        <v>79</v>
      </c>
    </row>
    <row r="48" spans="1:20" x14ac:dyDescent="0.2">
      <c r="A48" s="42"/>
      <c r="B48" s="70" t="s">
        <v>1</v>
      </c>
      <c r="C48" s="432" t="s">
        <v>41</v>
      </c>
      <c r="D48" s="445"/>
      <c r="E48" s="49">
        <v>0.2</v>
      </c>
      <c r="F48" s="61">
        <f>E48*($F$37+$F$44)</f>
        <v>761.45480399999997</v>
      </c>
      <c r="G48" s="49">
        <v>0.2</v>
      </c>
      <c r="H48" s="46">
        <f>G48*($H$37+$H$44)</f>
        <v>784.30037500000003</v>
      </c>
      <c r="I48" s="49">
        <v>0.2</v>
      </c>
      <c r="J48" s="46">
        <f>I48*(J37+J44)</f>
        <v>850.96319719999997</v>
      </c>
      <c r="K48" s="49">
        <v>0.2</v>
      </c>
      <c r="L48" s="46">
        <f>K48*(L37+L44)</f>
        <v>900.74173340000004</v>
      </c>
      <c r="M48" s="49">
        <v>0.2</v>
      </c>
      <c r="N48" s="46">
        <f>M48*(N37+N44)</f>
        <v>945.77532759999997</v>
      </c>
      <c r="O48" s="42"/>
      <c r="P48" s="49">
        <v>0.2</v>
      </c>
      <c r="Q48" s="46">
        <f>P48*(Q37+Q44)</f>
        <v>747.9380000000001</v>
      </c>
      <c r="R48" s="42"/>
      <c r="S48" s="49">
        <v>0.2</v>
      </c>
      <c r="T48" s="46">
        <f>S48*(T37+T44)</f>
        <v>1047.1093333333333</v>
      </c>
    </row>
    <row r="49" spans="1:20" x14ac:dyDescent="0.2">
      <c r="A49" s="42"/>
      <c r="B49" s="71" t="s">
        <v>2</v>
      </c>
      <c r="C49" s="409" t="s">
        <v>92</v>
      </c>
      <c r="D49" s="415"/>
      <c r="E49" s="51">
        <v>2.5000000000000001E-2</v>
      </c>
      <c r="F49" s="54">
        <f t="shared" ref="F49:F55" si="0">E49*($F$37+$F$44)</f>
        <v>95.181850499999996</v>
      </c>
      <c r="G49" s="51">
        <v>2.5000000000000001E-2</v>
      </c>
      <c r="H49" s="55">
        <f t="shared" ref="H49:H55" si="1">G49*($H$37+$H$44)</f>
        <v>98.037546875000004</v>
      </c>
      <c r="I49" s="51">
        <v>2.5000000000000001E-2</v>
      </c>
      <c r="J49" s="59">
        <f>I49*(J37+J44)</f>
        <v>106.37039965</v>
      </c>
      <c r="K49" s="51">
        <v>2.5000000000000001E-2</v>
      </c>
      <c r="L49" s="59">
        <f>K49*(L37+L44)</f>
        <v>112.59271667500001</v>
      </c>
      <c r="M49" s="51">
        <v>2.5000000000000001E-2</v>
      </c>
      <c r="N49" s="59">
        <f>M49*(N37+N44)</f>
        <v>118.22191595</v>
      </c>
      <c r="O49" s="42"/>
      <c r="P49" s="51">
        <v>2.5000000000000001E-2</v>
      </c>
      <c r="Q49" s="59">
        <f>P49*(Q37+Q44)</f>
        <v>93.492250000000013</v>
      </c>
      <c r="R49" s="42"/>
      <c r="S49" s="51">
        <v>2.5000000000000001E-2</v>
      </c>
      <c r="T49" s="59">
        <f>S49*(T37+T44)</f>
        <v>130.88866666666667</v>
      </c>
    </row>
    <row r="50" spans="1:20" x14ac:dyDescent="0.2">
      <c r="A50" s="42"/>
      <c r="B50" s="71" t="s">
        <v>4</v>
      </c>
      <c r="C50" s="409" t="s">
        <v>93</v>
      </c>
      <c r="D50" s="415"/>
      <c r="E50" s="51">
        <f>3%*0.5</f>
        <v>1.4999999999999999E-2</v>
      </c>
      <c r="F50" s="54">
        <f t="shared" si="0"/>
        <v>57.109110299999998</v>
      </c>
      <c r="G50" s="51">
        <f>3%*0.5</f>
        <v>1.4999999999999999E-2</v>
      </c>
      <c r="H50" s="81">
        <f t="shared" si="1"/>
        <v>58.822528124999998</v>
      </c>
      <c r="I50" s="51">
        <f>3%*0.5</f>
        <v>1.4999999999999999E-2</v>
      </c>
      <c r="J50" s="59">
        <f>I50*(J37+J44)</f>
        <v>63.82223978999999</v>
      </c>
      <c r="K50" s="51">
        <f>3%*0.5</f>
        <v>1.4999999999999999E-2</v>
      </c>
      <c r="L50" s="59">
        <f>K50*(L37+L44)</f>
        <v>67.555630004999998</v>
      </c>
      <c r="M50" s="51">
        <f>3%*0.5</f>
        <v>1.4999999999999999E-2</v>
      </c>
      <c r="N50" s="59">
        <f>M50*(N37+N44)</f>
        <v>70.933149569999998</v>
      </c>
      <c r="O50" s="42"/>
      <c r="P50" s="51">
        <f>3%*0.5</f>
        <v>1.4999999999999999E-2</v>
      </c>
      <c r="Q50" s="59">
        <f>P50*(Q37+Q44)</f>
        <v>56.095349999999996</v>
      </c>
      <c r="R50" s="42"/>
      <c r="S50" s="51">
        <f>3%*0.5</f>
        <v>1.4999999999999999E-2</v>
      </c>
      <c r="T50" s="59">
        <f>S50*(T37+T44)</f>
        <v>78.533199999999994</v>
      </c>
    </row>
    <row r="51" spans="1:20" x14ac:dyDescent="0.2">
      <c r="A51" s="42"/>
      <c r="B51" s="71" t="s">
        <v>5</v>
      </c>
      <c r="C51" s="409" t="s">
        <v>94</v>
      </c>
      <c r="D51" s="415"/>
      <c r="E51" s="51">
        <v>1.4999999999999999E-2</v>
      </c>
      <c r="F51" s="54">
        <f t="shared" si="0"/>
        <v>57.109110299999998</v>
      </c>
      <c r="G51" s="51">
        <v>1.4999999999999999E-2</v>
      </c>
      <c r="H51" s="52">
        <f t="shared" si="1"/>
        <v>58.822528124999998</v>
      </c>
      <c r="I51" s="51">
        <v>1.4999999999999999E-2</v>
      </c>
      <c r="J51" s="82">
        <f>I51*(J37+J44)</f>
        <v>63.82223978999999</v>
      </c>
      <c r="K51" s="51">
        <v>1.4999999999999999E-2</v>
      </c>
      <c r="L51" s="82">
        <f>K51*(L37+L44)</f>
        <v>67.555630004999998</v>
      </c>
      <c r="M51" s="51">
        <v>1.4999999999999999E-2</v>
      </c>
      <c r="N51" s="82">
        <f>M51*(N37+N44)</f>
        <v>70.933149569999998</v>
      </c>
      <c r="O51" s="42"/>
      <c r="P51" s="51">
        <v>1.4999999999999999E-2</v>
      </c>
      <c r="Q51" s="82">
        <f>P51*(Q37+Q44)</f>
        <v>56.095349999999996</v>
      </c>
      <c r="R51" s="42"/>
      <c r="S51" s="51">
        <v>1.4999999999999999E-2</v>
      </c>
      <c r="T51" s="82">
        <f>S51*(T37+T44)</f>
        <v>78.533199999999994</v>
      </c>
    </row>
    <row r="52" spans="1:20" x14ac:dyDescent="0.2">
      <c r="A52" s="42"/>
      <c r="B52" s="71" t="s">
        <v>6</v>
      </c>
      <c r="C52" s="409" t="s">
        <v>95</v>
      </c>
      <c r="D52" s="415"/>
      <c r="E52" s="51">
        <v>0.01</v>
      </c>
      <c r="F52" s="52">
        <f t="shared" si="0"/>
        <v>38.072740199999998</v>
      </c>
      <c r="G52" s="51">
        <v>0.01</v>
      </c>
      <c r="H52" s="55">
        <f t="shared" si="1"/>
        <v>39.215018749999999</v>
      </c>
      <c r="I52" s="51">
        <v>0.01</v>
      </c>
      <c r="J52" s="62">
        <f>I52*(J37+J44)</f>
        <v>42.548159859999998</v>
      </c>
      <c r="K52" s="51">
        <v>0.01</v>
      </c>
      <c r="L52" s="62">
        <f>K52*(L37+L44)</f>
        <v>45.037086670000001</v>
      </c>
      <c r="M52" s="51">
        <v>0.01</v>
      </c>
      <c r="N52" s="62">
        <f>M52*(N37+N44)</f>
        <v>47.288766379999998</v>
      </c>
      <c r="O52" s="42"/>
      <c r="P52" s="51">
        <v>0.01</v>
      </c>
      <c r="Q52" s="62">
        <f>P52*(Q37+Q44)</f>
        <v>37.396900000000002</v>
      </c>
      <c r="R52" s="42"/>
      <c r="S52" s="51">
        <v>0.01</v>
      </c>
      <c r="T52" s="62">
        <f>S52*(T37+T44)</f>
        <v>52.355466666666665</v>
      </c>
    </row>
    <row r="53" spans="1:20" x14ac:dyDescent="0.2">
      <c r="A53" s="42"/>
      <c r="B53" s="80" t="s">
        <v>7</v>
      </c>
      <c r="C53" s="378" t="s">
        <v>44</v>
      </c>
      <c r="D53" s="446"/>
      <c r="E53" s="53">
        <v>6.0000000000000001E-3</v>
      </c>
      <c r="F53" s="82">
        <f t="shared" si="0"/>
        <v>22.84364412</v>
      </c>
      <c r="G53" s="53">
        <v>6.0000000000000001E-3</v>
      </c>
      <c r="H53" s="81">
        <f t="shared" si="1"/>
        <v>23.52901125</v>
      </c>
      <c r="I53" s="53">
        <v>6.0000000000000001E-3</v>
      </c>
      <c r="J53" s="59">
        <f>I53*(J37+J44)</f>
        <v>25.528895916</v>
      </c>
      <c r="K53" s="53">
        <v>6.0000000000000001E-3</v>
      </c>
      <c r="L53" s="59">
        <f>K53*(L37+L44)</f>
        <v>27.022252001999998</v>
      </c>
      <c r="M53" s="53">
        <v>6.0000000000000001E-3</v>
      </c>
      <c r="N53" s="59">
        <f>M53*(N37+N44)</f>
        <v>28.373259827999998</v>
      </c>
      <c r="O53" s="42"/>
      <c r="P53" s="53">
        <v>6.0000000000000001E-3</v>
      </c>
      <c r="Q53" s="59">
        <f>P53*(Q37+Q44)</f>
        <v>22.438140000000001</v>
      </c>
      <c r="R53" s="42"/>
      <c r="S53" s="53">
        <v>6.0000000000000001E-3</v>
      </c>
      <c r="T53" s="59">
        <f>S53*(T37+T44)</f>
        <v>31.413279999999997</v>
      </c>
    </row>
    <row r="54" spans="1:20" x14ac:dyDescent="0.2">
      <c r="A54" s="42"/>
      <c r="B54" s="80" t="s">
        <v>8</v>
      </c>
      <c r="C54" s="378" t="s">
        <v>42</v>
      </c>
      <c r="D54" s="446"/>
      <c r="E54" s="53">
        <v>2E-3</v>
      </c>
      <c r="F54" s="52">
        <f t="shared" si="0"/>
        <v>7.6145480399999999</v>
      </c>
      <c r="G54" s="53">
        <v>2E-3</v>
      </c>
      <c r="H54" s="52">
        <f t="shared" si="1"/>
        <v>7.8430037500000003</v>
      </c>
      <c r="I54" s="53">
        <v>2E-3</v>
      </c>
      <c r="J54" s="59">
        <f>I54*(J37+J44)</f>
        <v>8.5096319719999993</v>
      </c>
      <c r="K54" s="53">
        <v>2E-3</v>
      </c>
      <c r="L54" s="59">
        <f>K54*(L37+L44)</f>
        <v>9.0074173339999994</v>
      </c>
      <c r="M54" s="53">
        <v>2E-3</v>
      </c>
      <c r="N54" s="59">
        <f>M54*(N37+N44)</f>
        <v>9.457753276</v>
      </c>
      <c r="O54" s="42"/>
      <c r="P54" s="53">
        <v>2E-3</v>
      </c>
      <c r="Q54" s="59">
        <f>P54*(Q37+Q44)</f>
        <v>7.4793799999999999</v>
      </c>
      <c r="R54" s="42"/>
      <c r="S54" s="53">
        <v>2E-3</v>
      </c>
      <c r="T54" s="59">
        <f>S54*(T37+T44)</f>
        <v>10.471093333333332</v>
      </c>
    </row>
    <row r="55" spans="1:20" ht="13.5" thickBot="1" x14ac:dyDescent="0.25">
      <c r="A55" s="42"/>
      <c r="B55" s="80" t="s">
        <v>12</v>
      </c>
      <c r="C55" s="383" t="s">
        <v>43</v>
      </c>
      <c r="D55" s="451"/>
      <c r="E55" s="53">
        <v>0.08</v>
      </c>
      <c r="F55" s="59">
        <f t="shared" si="0"/>
        <v>304.58192159999999</v>
      </c>
      <c r="G55" s="53">
        <v>0.08</v>
      </c>
      <c r="H55" s="55">
        <f t="shared" si="1"/>
        <v>313.72014999999999</v>
      </c>
      <c r="I55" s="53">
        <v>0.08</v>
      </c>
      <c r="J55" s="59">
        <f>I55*(J37+J44)</f>
        <v>340.38527887999999</v>
      </c>
      <c r="K55" s="53">
        <v>0.08</v>
      </c>
      <c r="L55" s="59">
        <f>K55*(L37+L44)</f>
        <v>360.29669336000001</v>
      </c>
      <c r="M55" s="53">
        <v>0.08</v>
      </c>
      <c r="N55" s="59">
        <f>M55*(N37+N44)</f>
        <v>378.31013103999999</v>
      </c>
      <c r="O55" s="42"/>
      <c r="P55" s="53">
        <v>0.08</v>
      </c>
      <c r="Q55" s="59">
        <f>P55*(Q37+Q44)</f>
        <v>299.17520000000002</v>
      </c>
      <c r="R55" s="42"/>
      <c r="S55" s="53">
        <v>0.08</v>
      </c>
      <c r="T55" s="59">
        <f>S55*(T37+T44)</f>
        <v>418.84373333333332</v>
      </c>
    </row>
    <row r="56" spans="1:20" ht="13.5" customHeight="1" thickBot="1" x14ac:dyDescent="0.3">
      <c r="A56" s="42"/>
      <c r="B56" s="369" t="s">
        <v>16</v>
      </c>
      <c r="C56" s="370"/>
      <c r="D56" s="371"/>
      <c r="E56" s="90">
        <f t="shared" ref="E56:N56" si="2">SUM(E48:E55)</f>
        <v>0.35300000000000004</v>
      </c>
      <c r="F56" s="5">
        <f t="shared" si="2"/>
        <v>1343.96772906</v>
      </c>
      <c r="G56" s="90">
        <f t="shared" si="2"/>
        <v>0.35300000000000004</v>
      </c>
      <c r="H56" s="5">
        <f t="shared" si="2"/>
        <v>1384.2901618749997</v>
      </c>
      <c r="I56" s="90">
        <f>SUM(I48:I55)</f>
        <v>0.35300000000000004</v>
      </c>
      <c r="J56" s="5">
        <f>SUM(J48:J55)</f>
        <v>1501.9500430579999</v>
      </c>
      <c r="K56" s="90">
        <f t="shared" ref="K56:L56" si="3">SUM(K48:K55)</f>
        <v>0.35300000000000004</v>
      </c>
      <c r="L56" s="5">
        <f t="shared" si="3"/>
        <v>1589.8091594509999</v>
      </c>
      <c r="M56" s="90">
        <f t="shared" si="2"/>
        <v>0.35300000000000004</v>
      </c>
      <c r="N56" s="5">
        <f t="shared" si="2"/>
        <v>1669.293453214</v>
      </c>
      <c r="O56" s="42"/>
      <c r="P56" s="90">
        <f>SUM(P48:P55)</f>
        <v>0.35300000000000004</v>
      </c>
      <c r="Q56" s="5">
        <f>SUM(Q48:Q55)</f>
        <v>1320.1105700000003</v>
      </c>
      <c r="R56" s="42"/>
      <c r="S56" s="90">
        <f>SUM(S48:S55)</f>
        <v>0.35300000000000004</v>
      </c>
      <c r="T56" s="5">
        <f>SUM(T48:T55)</f>
        <v>1848.1479733333335</v>
      </c>
    </row>
    <row r="57" spans="1:20" ht="13.5" thickBot="1" x14ac:dyDescent="0.25">
      <c r="A57" s="42"/>
      <c r="B57" s="42"/>
      <c r="C57" s="42"/>
      <c r="D57" s="42"/>
      <c r="E57" s="42"/>
      <c r="F57" s="83"/>
      <c r="G57" s="42"/>
      <c r="H57" s="79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</row>
    <row r="58" spans="1:20" ht="15.75" thickBot="1" x14ac:dyDescent="0.3">
      <c r="A58" s="42"/>
      <c r="B58" s="369" t="s">
        <v>96</v>
      </c>
      <c r="C58" s="370"/>
      <c r="D58" s="370"/>
      <c r="E58" s="370"/>
      <c r="F58" s="370"/>
      <c r="G58" s="370"/>
      <c r="H58" s="370"/>
      <c r="I58" s="370"/>
      <c r="J58" s="370"/>
      <c r="K58" s="370"/>
      <c r="L58" s="370"/>
      <c r="M58" s="370"/>
      <c r="N58" s="371"/>
      <c r="O58" s="42"/>
      <c r="P58" s="42"/>
      <c r="Q58" s="42"/>
      <c r="R58" s="42"/>
      <c r="S58" s="42"/>
      <c r="T58" s="42"/>
    </row>
    <row r="59" spans="1:20" ht="15.75" thickBot="1" x14ac:dyDescent="0.3">
      <c r="A59" s="42"/>
      <c r="B59" s="65" t="s">
        <v>97</v>
      </c>
      <c r="C59" s="441" t="s">
        <v>58</v>
      </c>
      <c r="D59" s="447"/>
      <c r="E59" s="91"/>
      <c r="F59" s="66" t="s">
        <v>77</v>
      </c>
      <c r="G59" s="86"/>
      <c r="H59" s="66" t="s">
        <v>78</v>
      </c>
      <c r="I59" s="86"/>
      <c r="J59" s="66" t="s">
        <v>79</v>
      </c>
      <c r="K59" s="86"/>
      <c r="L59" s="66" t="s">
        <v>79</v>
      </c>
      <c r="M59" s="86"/>
      <c r="N59" s="66" t="s">
        <v>79</v>
      </c>
      <c r="O59" s="42"/>
      <c r="P59" s="86"/>
      <c r="Q59" s="66" t="s">
        <v>79</v>
      </c>
      <c r="R59" s="42"/>
      <c r="S59" s="86"/>
      <c r="T59" s="66" t="s">
        <v>79</v>
      </c>
    </row>
    <row r="60" spans="1:20" x14ac:dyDescent="0.2">
      <c r="A60" s="42"/>
      <c r="B60" s="70" t="s">
        <v>1</v>
      </c>
      <c r="C60" s="432" t="s">
        <v>36</v>
      </c>
      <c r="D60" s="445"/>
      <c r="E60" s="92">
        <v>5.5</v>
      </c>
      <c r="F60" s="50">
        <f>E60*15*2-(6%*F30)</f>
        <v>33.441000000000003</v>
      </c>
      <c r="G60" s="92">
        <v>5.5</v>
      </c>
      <c r="H60" s="50">
        <f>G60*15*2-(6%*H30)</f>
        <v>29.494200000000006</v>
      </c>
      <c r="I60" s="92">
        <v>5.5</v>
      </c>
      <c r="J60" s="46">
        <f>I60*15*2-(6%*J30)</f>
        <v>17.976600000000019</v>
      </c>
      <c r="K60" s="92">
        <v>5.5</v>
      </c>
      <c r="L60" s="46">
        <f>K60*15*2-(6%*L30)</f>
        <v>9.3762000000000114</v>
      </c>
      <c r="M60" s="92">
        <v>5.5</v>
      </c>
      <c r="N60" s="46">
        <f>M60*15*2-(6%*N30)</f>
        <v>1.5954000000000121</v>
      </c>
      <c r="O60" s="42"/>
      <c r="P60" s="92">
        <v>5.5</v>
      </c>
      <c r="Q60" s="46">
        <f>P60*15*2-(6%*Q30)</f>
        <v>9.3762000000000114</v>
      </c>
      <c r="R60" s="42"/>
      <c r="S60" s="92">
        <v>0</v>
      </c>
      <c r="T60" s="46">
        <f>S60*15*2-(6%*T30)</f>
        <v>0</v>
      </c>
    </row>
    <row r="61" spans="1:20" x14ac:dyDescent="0.2">
      <c r="A61" s="42"/>
      <c r="B61" s="71" t="s">
        <v>2</v>
      </c>
      <c r="C61" s="409" t="s">
        <v>98</v>
      </c>
      <c r="D61" s="415"/>
      <c r="E61" s="93">
        <v>37.5</v>
      </c>
      <c r="F61" s="52">
        <f>E61*15</f>
        <v>562.5</v>
      </c>
      <c r="G61" s="93">
        <v>39.29</v>
      </c>
      <c r="H61" s="52">
        <f>G61*15</f>
        <v>589.35</v>
      </c>
      <c r="I61" s="93">
        <v>42.63</v>
      </c>
      <c r="J61" s="52">
        <f>I61*15</f>
        <v>639.45000000000005</v>
      </c>
      <c r="K61" s="93">
        <v>45.12</v>
      </c>
      <c r="L61" s="52">
        <f>K61*15</f>
        <v>676.8</v>
      </c>
      <c r="M61" s="310">
        <v>47.37</v>
      </c>
      <c r="N61" s="52">
        <f>M61*15</f>
        <v>710.55</v>
      </c>
      <c r="O61" s="42"/>
      <c r="P61" s="93">
        <v>45.12</v>
      </c>
      <c r="Q61" s="52">
        <f>P61*15</f>
        <v>676.8</v>
      </c>
      <c r="R61" s="42"/>
      <c r="S61" s="93">
        <v>0</v>
      </c>
      <c r="T61" s="52">
        <f>S61*15</f>
        <v>0</v>
      </c>
    </row>
    <row r="62" spans="1:20" x14ac:dyDescent="0.2">
      <c r="A62" s="42"/>
      <c r="B62" s="71" t="s">
        <v>159</v>
      </c>
      <c r="C62" s="409" t="s">
        <v>160</v>
      </c>
      <c r="D62" s="415"/>
      <c r="E62" s="93">
        <f>E61*0.02</f>
        <v>0.75</v>
      </c>
      <c r="F62" s="52">
        <f>E62*-15</f>
        <v>-11.25</v>
      </c>
      <c r="G62" s="93">
        <f>G61*0.02</f>
        <v>0.78580000000000005</v>
      </c>
      <c r="H62" s="52">
        <f>G62*-15</f>
        <v>-11.787000000000001</v>
      </c>
      <c r="I62" s="93">
        <f>I61*0.02</f>
        <v>0.85260000000000002</v>
      </c>
      <c r="J62" s="52">
        <f>I62*-15</f>
        <v>-12.789</v>
      </c>
      <c r="K62" s="93">
        <f>K61*0.02</f>
        <v>0.90239999999999998</v>
      </c>
      <c r="L62" s="52">
        <f>K62*-15</f>
        <v>-13.536</v>
      </c>
      <c r="M62" s="93">
        <f>M61*0.02</f>
        <v>0.94740000000000002</v>
      </c>
      <c r="N62" s="52">
        <f>M62*-15</f>
        <v>-14.211</v>
      </c>
      <c r="O62" s="42"/>
      <c r="P62" s="93">
        <f>P61*0.02</f>
        <v>0.90239999999999998</v>
      </c>
      <c r="Q62" s="52">
        <f>P62*-15</f>
        <v>-13.536</v>
      </c>
      <c r="R62" s="42"/>
      <c r="S62" s="93">
        <f>S61*0.02</f>
        <v>0</v>
      </c>
      <c r="T62" s="52">
        <f>S62*-15</f>
        <v>0</v>
      </c>
    </row>
    <row r="63" spans="1:20" ht="13.5" thickBot="1" x14ac:dyDescent="0.25">
      <c r="A63" s="42"/>
      <c r="B63" s="71" t="s">
        <v>4</v>
      </c>
      <c r="C63" s="409" t="s">
        <v>161</v>
      </c>
      <c r="D63" s="415"/>
      <c r="E63" s="93"/>
      <c r="F63" s="52">
        <v>10.9</v>
      </c>
      <c r="G63" s="93"/>
      <c r="H63" s="52">
        <v>10.9</v>
      </c>
      <c r="I63" s="93"/>
      <c r="J63" s="52">
        <v>10.9</v>
      </c>
      <c r="K63" s="93"/>
      <c r="L63" s="52">
        <v>10.9</v>
      </c>
      <c r="M63" s="93"/>
      <c r="N63" s="52">
        <v>10.9</v>
      </c>
      <c r="O63" s="42"/>
      <c r="P63" s="93"/>
      <c r="Q63" s="52">
        <v>10.9</v>
      </c>
      <c r="R63" s="42"/>
      <c r="S63" s="93"/>
      <c r="T63" s="52">
        <v>0</v>
      </c>
    </row>
    <row r="64" spans="1:20" ht="15.75" thickBot="1" x14ac:dyDescent="0.3">
      <c r="A64" s="42"/>
      <c r="B64" s="369" t="s">
        <v>16</v>
      </c>
      <c r="C64" s="370"/>
      <c r="D64" s="370"/>
      <c r="E64" s="371"/>
      <c r="F64" s="5">
        <f>SUM(F60:F63)</f>
        <v>595.59100000000001</v>
      </c>
      <c r="G64" s="8"/>
      <c r="H64" s="5">
        <f>SUM(H60:H63)</f>
        <v>617.95719999999994</v>
      </c>
      <c r="I64" s="8"/>
      <c r="J64" s="5">
        <f>SUM(J60:J63)</f>
        <v>655.5376</v>
      </c>
      <c r="K64" s="8"/>
      <c r="L64" s="5">
        <f>SUM(L60:L63)</f>
        <v>683.54020000000003</v>
      </c>
      <c r="M64" s="8"/>
      <c r="N64" s="5">
        <f>SUM(N60:N63)</f>
        <v>708.83439999999996</v>
      </c>
      <c r="O64" s="42"/>
      <c r="P64" s="8"/>
      <c r="Q64" s="5">
        <f>SUM(Q60:Q63)</f>
        <v>683.54020000000003</v>
      </c>
      <c r="R64" s="42"/>
      <c r="S64" s="8"/>
      <c r="T64" s="5">
        <f>SUM(T60:T63)</f>
        <v>0</v>
      </c>
    </row>
    <row r="65" spans="1:20" ht="13.5" thickBot="1" x14ac:dyDescent="0.25">
      <c r="A65" s="42"/>
      <c r="B65" s="142"/>
      <c r="C65" s="9"/>
      <c r="D65" s="9"/>
      <c r="E65" s="9"/>
      <c r="F65" s="9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</row>
    <row r="66" spans="1:20" ht="15.75" thickBot="1" x14ac:dyDescent="0.3">
      <c r="A66" s="73"/>
      <c r="B66" s="369" t="s">
        <v>99</v>
      </c>
      <c r="C66" s="370"/>
      <c r="D66" s="370"/>
      <c r="E66" s="370"/>
      <c r="F66" s="370"/>
      <c r="G66" s="370"/>
      <c r="H66" s="370"/>
      <c r="I66" s="370"/>
      <c r="J66" s="370"/>
      <c r="K66" s="370"/>
      <c r="L66" s="370"/>
      <c r="M66" s="370"/>
      <c r="N66" s="371"/>
      <c r="O66" s="42"/>
      <c r="P66" s="42"/>
      <c r="Q66" s="42"/>
      <c r="R66" s="42"/>
      <c r="S66" s="42"/>
      <c r="T66" s="42"/>
    </row>
    <row r="67" spans="1:20" ht="15.75" thickBot="1" x14ac:dyDescent="0.3">
      <c r="A67" s="42"/>
      <c r="B67" s="65">
        <v>2</v>
      </c>
      <c r="C67" s="441" t="s">
        <v>100</v>
      </c>
      <c r="D67" s="447"/>
      <c r="E67" s="134" t="s">
        <v>13</v>
      </c>
      <c r="F67" s="4" t="s">
        <v>35</v>
      </c>
      <c r="G67" s="137" t="s">
        <v>13</v>
      </c>
      <c r="H67" s="4" t="s">
        <v>35</v>
      </c>
      <c r="I67" s="137" t="s">
        <v>13</v>
      </c>
      <c r="J67" s="4" t="s">
        <v>35</v>
      </c>
      <c r="K67" s="137" t="s">
        <v>13</v>
      </c>
      <c r="L67" s="4" t="s">
        <v>35</v>
      </c>
      <c r="M67" s="137" t="s">
        <v>13</v>
      </c>
      <c r="N67" s="4" t="s">
        <v>35</v>
      </c>
      <c r="O67" s="42"/>
      <c r="P67" s="137" t="s">
        <v>13</v>
      </c>
      <c r="Q67" s="4" t="s">
        <v>35</v>
      </c>
      <c r="R67" s="42"/>
      <c r="S67" s="137" t="s">
        <v>13</v>
      </c>
      <c r="T67" s="4" t="s">
        <v>35</v>
      </c>
    </row>
    <row r="68" spans="1:20" x14ac:dyDescent="0.2">
      <c r="A68" s="42"/>
      <c r="B68" s="70" t="s">
        <v>1</v>
      </c>
      <c r="C68" s="432" t="s">
        <v>86</v>
      </c>
      <c r="D68" s="445"/>
      <c r="E68" s="49">
        <f>E44</f>
        <v>0.20429999999999998</v>
      </c>
      <c r="F68" s="55">
        <f>F44</f>
        <v>645.87401999999997</v>
      </c>
      <c r="G68" s="49"/>
      <c r="H68" s="55">
        <f>H44</f>
        <v>665.25187499999993</v>
      </c>
      <c r="I68" s="49"/>
      <c r="J68" s="55">
        <f>J44</f>
        <v>721.79598599999997</v>
      </c>
      <c r="K68" s="49"/>
      <c r="L68" s="55">
        <f>L44</f>
        <v>764.01866700000005</v>
      </c>
      <c r="M68" s="49"/>
      <c r="N68" s="55">
        <f>N44</f>
        <v>802.21663799999999</v>
      </c>
      <c r="O68" s="42"/>
      <c r="P68" s="49"/>
      <c r="Q68" s="55">
        <f>Q44</f>
        <v>0</v>
      </c>
      <c r="R68" s="42"/>
      <c r="S68" s="49"/>
      <c r="T68" s="55">
        <f>T44</f>
        <v>5235.5466666666662</v>
      </c>
    </row>
    <row r="69" spans="1:20" x14ac:dyDescent="0.2">
      <c r="A69" s="42"/>
      <c r="B69" s="71" t="s">
        <v>2</v>
      </c>
      <c r="C69" s="409" t="s">
        <v>91</v>
      </c>
      <c r="D69" s="415"/>
      <c r="E69" s="51">
        <f>E56</f>
        <v>0.35300000000000004</v>
      </c>
      <c r="F69" s="52">
        <f>F56</f>
        <v>1343.96772906</v>
      </c>
      <c r="G69" s="51"/>
      <c r="H69" s="52">
        <f>H56</f>
        <v>1384.2901618749997</v>
      </c>
      <c r="I69" s="51"/>
      <c r="J69" s="52">
        <f>J56</f>
        <v>1501.9500430579999</v>
      </c>
      <c r="K69" s="51"/>
      <c r="L69" s="52">
        <f>L56</f>
        <v>1589.8091594509999</v>
      </c>
      <c r="M69" s="51"/>
      <c r="N69" s="52">
        <f>N56</f>
        <v>1669.293453214</v>
      </c>
      <c r="O69" s="42"/>
      <c r="P69" s="51"/>
      <c r="Q69" s="52">
        <f>Q56</f>
        <v>1320.1105700000003</v>
      </c>
      <c r="R69" s="42"/>
      <c r="S69" s="51"/>
      <c r="T69" s="52">
        <f>T56</f>
        <v>1848.1479733333335</v>
      </c>
    </row>
    <row r="70" spans="1:20" ht="13.5" thickBot="1" x14ac:dyDescent="0.25">
      <c r="A70" s="42"/>
      <c r="B70" s="71" t="s">
        <v>4</v>
      </c>
      <c r="C70" s="452" t="s">
        <v>58</v>
      </c>
      <c r="D70" s="453"/>
      <c r="E70" s="51"/>
      <c r="F70" s="52">
        <f>F64</f>
        <v>595.59100000000001</v>
      </c>
      <c r="G70" s="51"/>
      <c r="H70" s="52">
        <f>H64</f>
        <v>617.95719999999994</v>
      </c>
      <c r="I70" s="51"/>
      <c r="J70" s="52">
        <f>J64</f>
        <v>655.5376</v>
      </c>
      <c r="K70" s="51"/>
      <c r="L70" s="52">
        <f>L64</f>
        <v>683.54020000000003</v>
      </c>
      <c r="M70" s="51"/>
      <c r="N70" s="52">
        <f>N64</f>
        <v>708.83439999999996</v>
      </c>
      <c r="O70" s="42"/>
      <c r="P70" s="51"/>
      <c r="Q70" s="52">
        <f>Q64</f>
        <v>683.54020000000003</v>
      </c>
      <c r="R70" s="42"/>
      <c r="S70" s="51"/>
      <c r="T70" s="52">
        <f>T64</f>
        <v>0</v>
      </c>
    </row>
    <row r="71" spans="1:20" ht="15.75" thickBot="1" x14ac:dyDescent="0.3">
      <c r="A71" s="42"/>
      <c r="B71" s="369" t="s">
        <v>16</v>
      </c>
      <c r="C71" s="370"/>
      <c r="D71" s="370"/>
      <c r="E71" s="146">
        <f>SUM(E68:E70)</f>
        <v>0.55730000000000002</v>
      </c>
      <c r="F71" s="5">
        <f>SUM(F68:F70)</f>
        <v>2585.4327490599999</v>
      </c>
      <c r="G71" s="56"/>
      <c r="H71" s="5">
        <f>SUM(H68:H70)</f>
        <v>2667.4992368749995</v>
      </c>
      <c r="I71" s="56"/>
      <c r="J71" s="5">
        <f>SUM(J68:J70)</f>
        <v>2879.2836290579999</v>
      </c>
      <c r="K71" s="56"/>
      <c r="L71" s="5">
        <f>SUM(L68:L70)</f>
        <v>3037.3680264509999</v>
      </c>
      <c r="M71" s="56"/>
      <c r="N71" s="5">
        <f>SUM(N68:N70)</f>
        <v>3180.3444912140003</v>
      </c>
      <c r="O71" s="42"/>
      <c r="P71" s="56"/>
      <c r="Q71" s="5">
        <f>SUM(Q68:Q70)</f>
        <v>2003.6507700000002</v>
      </c>
      <c r="R71" s="42"/>
      <c r="S71" s="56"/>
      <c r="T71" s="5">
        <f>SUM(T68:T70)</f>
        <v>7083.6946399999997</v>
      </c>
    </row>
    <row r="72" spans="1:20" ht="15.75" thickBot="1" x14ac:dyDescent="0.3">
      <c r="A72" s="42"/>
      <c r="B72" s="135"/>
      <c r="C72" s="135"/>
      <c r="D72" s="135"/>
      <c r="E72" s="87"/>
      <c r="F72" s="25"/>
      <c r="G72" s="42"/>
      <c r="H72" s="25"/>
      <c r="I72" s="42"/>
      <c r="J72" s="25"/>
      <c r="K72" s="42"/>
      <c r="L72" s="25"/>
      <c r="M72" s="42"/>
      <c r="N72" s="25"/>
      <c r="O72" s="42"/>
      <c r="P72" s="42"/>
      <c r="Q72" s="25"/>
      <c r="R72" s="42"/>
      <c r="S72" s="42"/>
      <c r="T72" s="25"/>
    </row>
    <row r="73" spans="1:20" ht="15.75" thickBot="1" x14ac:dyDescent="0.3">
      <c r="A73" s="42"/>
      <c r="B73" s="369" t="s">
        <v>101</v>
      </c>
      <c r="C73" s="370"/>
      <c r="D73" s="370"/>
      <c r="E73" s="370"/>
      <c r="F73" s="370"/>
      <c r="G73" s="370"/>
      <c r="H73" s="370"/>
      <c r="I73" s="370"/>
      <c r="J73" s="370"/>
      <c r="K73" s="370"/>
      <c r="L73" s="370"/>
      <c r="M73" s="370"/>
      <c r="N73" s="371"/>
      <c r="O73" s="42"/>
      <c r="P73" s="42"/>
      <c r="Q73" s="42"/>
      <c r="R73" s="42"/>
      <c r="S73" s="42"/>
      <c r="T73" s="42"/>
    </row>
    <row r="74" spans="1:20" ht="15.75" thickBot="1" x14ac:dyDescent="0.3">
      <c r="A74" s="42"/>
      <c r="B74" s="65">
        <v>3</v>
      </c>
      <c r="C74" s="441" t="s">
        <v>45</v>
      </c>
      <c r="D74" s="447"/>
      <c r="E74" s="134" t="s">
        <v>13</v>
      </c>
      <c r="F74" s="136" t="s">
        <v>35</v>
      </c>
      <c r="G74" s="4" t="s">
        <v>13</v>
      </c>
      <c r="H74" s="4" t="s">
        <v>35</v>
      </c>
      <c r="I74" s="4" t="s">
        <v>13</v>
      </c>
      <c r="J74" s="138" t="s">
        <v>35</v>
      </c>
      <c r="K74" s="4" t="s">
        <v>13</v>
      </c>
      <c r="L74" s="138" t="s">
        <v>35</v>
      </c>
      <c r="M74" s="4" t="s">
        <v>13</v>
      </c>
      <c r="N74" s="138" t="s">
        <v>35</v>
      </c>
      <c r="O74" s="42"/>
      <c r="P74" s="4" t="s">
        <v>13</v>
      </c>
      <c r="Q74" s="138" t="s">
        <v>35</v>
      </c>
      <c r="R74" s="42"/>
      <c r="S74" s="4" t="s">
        <v>13</v>
      </c>
      <c r="T74" s="138" t="s">
        <v>35</v>
      </c>
    </row>
    <row r="75" spans="1:20" x14ac:dyDescent="0.2">
      <c r="A75" s="42"/>
      <c r="B75" s="70" t="s">
        <v>1</v>
      </c>
      <c r="C75" s="432" t="s">
        <v>104</v>
      </c>
      <c r="D75" s="445"/>
      <c r="E75" s="132">
        <f>1/12*0.01</f>
        <v>8.3333333333333328E-4</v>
      </c>
      <c r="F75" s="59">
        <f t="shared" ref="F75:F80" si="4">$F$37*E75</f>
        <v>2.6345000000000001</v>
      </c>
      <c r="G75" s="132">
        <f>1/12*0.01*3/30</f>
        <v>8.3333333333333317E-5</v>
      </c>
      <c r="H75" s="59">
        <f t="shared" ref="H75:H80" si="5">$H$37*G75</f>
        <v>0.27135416666666662</v>
      </c>
      <c r="I75" s="132">
        <f>1/12*0.01*3/30</f>
        <v>8.3333333333333317E-5</v>
      </c>
      <c r="J75" s="55">
        <f>J37*I75</f>
        <v>0.29441833333333328</v>
      </c>
      <c r="K75" s="132">
        <f>1/12*0.01*3/30</f>
        <v>8.3333333333333317E-5</v>
      </c>
      <c r="L75" s="55">
        <f>L37*K75</f>
        <v>0.31164083333333326</v>
      </c>
      <c r="M75" s="132">
        <f>1/12*0.01*3/30</f>
        <v>8.3333333333333317E-5</v>
      </c>
      <c r="N75" s="55">
        <f>N37*M75</f>
        <v>0.32722166666666658</v>
      </c>
      <c r="O75" s="42"/>
      <c r="P75" s="132">
        <v>0</v>
      </c>
      <c r="Q75" s="55">
        <f>Q37*P75</f>
        <v>0</v>
      </c>
      <c r="R75" s="42"/>
      <c r="S75" s="132">
        <v>0</v>
      </c>
      <c r="T75" s="55">
        <f>T37*S75</f>
        <v>0</v>
      </c>
    </row>
    <row r="76" spans="1:20" x14ac:dyDescent="0.2">
      <c r="A76" s="42"/>
      <c r="B76" s="71" t="s">
        <v>2</v>
      </c>
      <c r="C76" s="409" t="s">
        <v>67</v>
      </c>
      <c r="D76" s="415"/>
      <c r="E76" s="123">
        <f>E75*E55</f>
        <v>6.666666666666667E-5</v>
      </c>
      <c r="F76" s="59">
        <f t="shared" si="4"/>
        <v>0.21076</v>
      </c>
      <c r="G76" s="123">
        <f>G75*G55</f>
        <v>6.6666666666666658E-6</v>
      </c>
      <c r="H76" s="59">
        <f t="shared" si="5"/>
        <v>2.1708333333333329E-2</v>
      </c>
      <c r="I76" s="123">
        <f>I75*I55</f>
        <v>6.6666666666666658E-6</v>
      </c>
      <c r="J76" s="52">
        <f>J37*I76</f>
        <v>2.3553466666666665E-2</v>
      </c>
      <c r="K76" s="123">
        <f>K75*K55</f>
        <v>6.6666666666666658E-6</v>
      </c>
      <c r="L76" s="52">
        <f>L37*K76</f>
        <v>2.4931266666666663E-2</v>
      </c>
      <c r="M76" s="123">
        <f>M75*M55</f>
        <v>6.6666666666666658E-6</v>
      </c>
      <c r="N76" s="52">
        <f>N37*M76</f>
        <v>2.6177733333333328E-2</v>
      </c>
      <c r="O76" s="42"/>
      <c r="P76" s="123">
        <f>P75*P55</f>
        <v>0</v>
      </c>
      <c r="Q76" s="52">
        <f>Q37*P76</f>
        <v>0</v>
      </c>
      <c r="R76" s="42"/>
      <c r="S76" s="123">
        <f>S75*S55</f>
        <v>0</v>
      </c>
      <c r="T76" s="52">
        <f>T37*S76</f>
        <v>0</v>
      </c>
    </row>
    <row r="77" spans="1:20" x14ac:dyDescent="0.2">
      <c r="A77" s="42"/>
      <c r="B77" s="71" t="s">
        <v>4</v>
      </c>
      <c r="C77" s="409" t="s">
        <v>162</v>
      </c>
      <c r="D77" s="415"/>
      <c r="E77" s="51">
        <f>0.08*0.4*0.95</f>
        <v>3.04E-2</v>
      </c>
      <c r="F77" s="59">
        <f t="shared" si="4"/>
        <v>96.106560000000002</v>
      </c>
      <c r="G77" s="51">
        <f>0.08*0.4*0.95</f>
        <v>3.04E-2</v>
      </c>
      <c r="H77" s="59">
        <f t="shared" si="5"/>
        <v>98.99</v>
      </c>
      <c r="I77" s="51">
        <f>0.08*0.4*0.95</f>
        <v>3.04E-2</v>
      </c>
      <c r="J77" s="52">
        <f>J37*I77</f>
        <v>107.403808</v>
      </c>
      <c r="K77" s="51">
        <f>0.08*0.4*0.95</f>
        <v>3.04E-2</v>
      </c>
      <c r="L77" s="52">
        <f>L37*K77</f>
        <v>113.686576</v>
      </c>
      <c r="M77" s="51">
        <f>0.08*0.4*0.95</f>
        <v>3.04E-2</v>
      </c>
      <c r="N77" s="52">
        <f>N37*M77</f>
        <v>119.370464</v>
      </c>
      <c r="O77" s="42"/>
      <c r="P77" s="51">
        <v>0</v>
      </c>
      <c r="Q77" s="52">
        <f>Q37*P77</f>
        <v>0</v>
      </c>
      <c r="R77" s="42"/>
      <c r="S77" s="51">
        <v>0</v>
      </c>
      <c r="T77" s="52">
        <f>T37*S77</f>
        <v>0</v>
      </c>
    </row>
    <row r="78" spans="1:20" x14ac:dyDescent="0.2">
      <c r="A78" s="42"/>
      <c r="B78" s="71" t="s">
        <v>5</v>
      </c>
      <c r="C78" s="409" t="s">
        <v>102</v>
      </c>
      <c r="D78" s="415"/>
      <c r="E78" s="102">
        <f>7/30/12*0.01</f>
        <v>1.9444444444444446E-4</v>
      </c>
      <c r="F78" s="59">
        <f t="shared" si="4"/>
        <v>0.61471666666666669</v>
      </c>
      <c r="G78" s="102">
        <f>7/30/12*0.01*3/30</f>
        <v>1.9444444444444445E-5</v>
      </c>
      <c r="H78" s="59">
        <f t="shared" si="5"/>
        <v>6.3315972222222225E-2</v>
      </c>
      <c r="I78" s="102">
        <f>7/30/12*0.01*3/30</f>
        <v>1.9444444444444445E-5</v>
      </c>
      <c r="J78" s="52">
        <f>J37*I78</f>
        <v>6.8697611111111112E-2</v>
      </c>
      <c r="K78" s="102">
        <f>7/30/12*0.01*3/30</f>
        <v>1.9444444444444445E-5</v>
      </c>
      <c r="L78" s="52">
        <f>L37*K78</f>
        <v>7.2716194444444451E-2</v>
      </c>
      <c r="M78" s="102">
        <f>7/30/12*0.01*3/30</f>
        <v>1.9444444444444445E-5</v>
      </c>
      <c r="N78" s="52">
        <f>N37*M78</f>
        <v>7.6351722222222224E-2</v>
      </c>
      <c r="O78" s="42"/>
      <c r="P78" s="102">
        <v>0</v>
      </c>
      <c r="Q78" s="52">
        <f>Q37*P78</f>
        <v>0</v>
      </c>
      <c r="R78" s="42"/>
      <c r="S78" s="102">
        <v>0</v>
      </c>
      <c r="T78" s="52">
        <f>T37*S78</f>
        <v>0</v>
      </c>
    </row>
    <row r="79" spans="1:20" x14ac:dyDescent="0.2">
      <c r="A79" s="42"/>
      <c r="B79" s="71" t="s">
        <v>6</v>
      </c>
      <c r="C79" s="409" t="s">
        <v>103</v>
      </c>
      <c r="D79" s="415"/>
      <c r="E79" s="123">
        <f>E78*E56</f>
        <v>6.8638888888888902E-5</v>
      </c>
      <c r="F79" s="59">
        <f t="shared" si="4"/>
        <v>0.21699498333333339</v>
      </c>
      <c r="G79" s="123">
        <f>G78*G56</f>
        <v>6.8638888888888899E-6</v>
      </c>
      <c r="H79" s="59">
        <f t="shared" si="5"/>
        <v>2.2350538194444446E-2</v>
      </c>
      <c r="I79" s="123">
        <f>I78*I56</f>
        <v>6.8638888888888899E-6</v>
      </c>
      <c r="J79" s="52">
        <f>J37*I79</f>
        <v>2.4250256722222224E-2</v>
      </c>
      <c r="K79" s="123">
        <f>K78*K56</f>
        <v>6.8638888888888899E-6</v>
      </c>
      <c r="L79" s="52">
        <f>L37*K79</f>
        <v>2.5668816638888894E-2</v>
      </c>
      <c r="M79" s="123">
        <f>M78*M56</f>
        <v>6.8638888888888899E-6</v>
      </c>
      <c r="N79" s="52">
        <f>N37*M79</f>
        <v>2.6952157944444447E-2</v>
      </c>
      <c r="O79" s="42"/>
      <c r="P79" s="123">
        <f>P78*P56</f>
        <v>0</v>
      </c>
      <c r="Q79" s="52">
        <f>Q37*P79</f>
        <v>0</v>
      </c>
      <c r="R79" s="42"/>
      <c r="S79" s="123">
        <f>S78*S56</f>
        <v>0</v>
      </c>
      <c r="T79" s="52">
        <f>T37*S79</f>
        <v>0</v>
      </c>
    </row>
    <row r="80" spans="1:20" ht="13.5" thickBot="1" x14ac:dyDescent="0.25">
      <c r="A80" s="42"/>
      <c r="B80" s="80" t="s">
        <v>7</v>
      </c>
      <c r="C80" s="378" t="s">
        <v>163</v>
      </c>
      <c r="D80" s="446"/>
      <c r="E80" s="144">
        <f>E78*0.4</f>
        <v>7.7777777777777795E-5</v>
      </c>
      <c r="F80" s="82">
        <f t="shared" si="4"/>
        <v>0.24588666666666673</v>
      </c>
      <c r="G80" s="144">
        <f>G78*0.4</f>
        <v>7.7777777777777792E-6</v>
      </c>
      <c r="H80" s="59">
        <f t="shared" si="5"/>
        <v>2.5326388888888895E-2</v>
      </c>
      <c r="I80" s="144">
        <f>I78*0.4</f>
        <v>7.7777777777777792E-6</v>
      </c>
      <c r="J80" s="52">
        <f>J37*I80</f>
        <v>2.7479044444444448E-2</v>
      </c>
      <c r="K80" s="144">
        <f>K78*0.4</f>
        <v>7.7777777777777792E-6</v>
      </c>
      <c r="L80" s="52">
        <f>L37*K80</f>
        <v>2.9086477777777783E-2</v>
      </c>
      <c r="M80" s="144">
        <f>M78*0.4</f>
        <v>7.7777777777777792E-6</v>
      </c>
      <c r="N80" s="52">
        <f>N37*M80</f>
        <v>3.0540688888888893E-2</v>
      </c>
      <c r="O80" s="42"/>
      <c r="P80" s="144">
        <f>P78*0.4</f>
        <v>0</v>
      </c>
      <c r="Q80" s="52">
        <f>Q37*P80</f>
        <v>0</v>
      </c>
      <c r="R80" s="42"/>
      <c r="S80" s="144">
        <f>S78*0.4</f>
        <v>0</v>
      </c>
      <c r="T80" s="52">
        <f>T37*S80</f>
        <v>0</v>
      </c>
    </row>
    <row r="81" spans="1:20" ht="15.75" thickBot="1" x14ac:dyDescent="0.3">
      <c r="A81" s="42"/>
      <c r="B81" s="369" t="s">
        <v>16</v>
      </c>
      <c r="C81" s="370"/>
      <c r="D81" s="370"/>
      <c r="E81" s="146">
        <f>SUM(E75:E80)</f>
        <v>3.1640861111111113E-2</v>
      </c>
      <c r="F81" s="5">
        <f>SUM(F75:F80)</f>
        <v>100.02941831666666</v>
      </c>
      <c r="G81" s="60"/>
      <c r="H81" s="13">
        <f>SUM(H75:H80)</f>
        <v>99.394055399305557</v>
      </c>
      <c r="I81" s="41"/>
      <c r="J81" s="5">
        <f>SUM(J75:J80)</f>
        <v>107.84220671227777</v>
      </c>
      <c r="K81" s="41"/>
      <c r="L81" s="5">
        <f>SUM(L75:L80)</f>
        <v>114.1506195888611</v>
      </c>
      <c r="M81" s="41"/>
      <c r="N81" s="5">
        <f>SUM(N75:N80)</f>
        <v>119.85770796905557</v>
      </c>
      <c r="O81" s="42"/>
      <c r="P81" s="41"/>
      <c r="Q81" s="5">
        <f>SUM(Q75:Q80)</f>
        <v>0</v>
      </c>
      <c r="R81" s="42"/>
      <c r="S81" s="41"/>
      <c r="T81" s="5">
        <f>SUM(T75:T80)</f>
        <v>0</v>
      </c>
    </row>
    <row r="82" spans="1:20" ht="15.75" thickBot="1" x14ac:dyDescent="0.3">
      <c r="A82" s="42"/>
      <c r="B82" s="135"/>
      <c r="C82" s="135"/>
      <c r="D82" s="135"/>
      <c r="E82" s="135"/>
      <c r="F82" s="25"/>
      <c r="G82" s="42"/>
      <c r="H82" s="25"/>
      <c r="I82" s="42"/>
      <c r="J82" s="25"/>
      <c r="K82" s="42"/>
      <c r="L82" s="25"/>
      <c r="M82" s="42"/>
      <c r="N82" s="25"/>
      <c r="O82" s="42"/>
      <c r="P82" s="42"/>
      <c r="Q82" s="25"/>
      <c r="R82" s="42"/>
      <c r="S82" s="42"/>
      <c r="T82" s="25"/>
    </row>
    <row r="83" spans="1:20" ht="15.75" thickBot="1" x14ac:dyDescent="0.3">
      <c r="A83" s="42"/>
      <c r="B83" s="369" t="s">
        <v>105</v>
      </c>
      <c r="C83" s="370"/>
      <c r="D83" s="370"/>
      <c r="E83" s="370"/>
      <c r="F83" s="370"/>
      <c r="G83" s="370"/>
      <c r="H83" s="370"/>
      <c r="I83" s="370"/>
      <c r="J83" s="370"/>
      <c r="K83" s="370"/>
      <c r="L83" s="370"/>
      <c r="M83" s="370"/>
      <c r="N83" s="371"/>
      <c r="O83" s="42"/>
      <c r="P83" s="42"/>
      <c r="Q83" s="42"/>
      <c r="R83" s="42"/>
      <c r="S83" s="42"/>
      <c r="T83" s="42"/>
    </row>
    <row r="84" spans="1:20" ht="15.75" thickBot="1" x14ac:dyDescent="0.3">
      <c r="A84" s="42"/>
      <c r="B84" s="369" t="s">
        <v>106</v>
      </c>
      <c r="C84" s="370"/>
      <c r="D84" s="370"/>
      <c r="E84" s="370"/>
      <c r="F84" s="370"/>
      <c r="G84" s="370"/>
      <c r="H84" s="370"/>
      <c r="I84" s="370"/>
      <c r="J84" s="370"/>
      <c r="K84" s="370"/>
      <c r="L84" s="370"/>
      <c r="M84" s="370"/>
      <c r="N84" s="371"/>
      <c r="O84" s="42"/>
      <c r="P84" s="42"/>
      <c r="Q84" s="42"/>
      <c r="R84" s="42"/>
      <c r="S84" s="42"/>
      <c r="T84" s="42"/>
    </row>
    <row r="85" spans="1:20" ht="15.75" thickBot="1" x14ac:dyDescent="0.25">
      <c r="A85" s="42"/>
      <c r="B85" s="139" t="s">
        <v>48</v>
      </c>
      <c r="C85" s="441" t="s">
        <v>46</v>
      </c>
      <c r="D85" s="447"/>
      <c r="E85" s="28" t="s">
        <v>13</v>
      </c>
      <c r="F85" s="30" t="s">
        <v>35</v>
      </c>
      <c r="G85" s="95" t="s">
        <v>13</v>
      </c>
      <c r="H85" s="95" t="s">
        <v>35</v>
      </c>
      <c r="I85" s="95" t="s">
        <v>13</v>
      </c>
      <c r="J85" s="31" t="s">
        <v>35</v>
      </c>
      <c r="K85" s="95" t="s">
        <v>13</v>
      </c>
      <c r="L85" s="31" t="s">
        <v>35</v>
      </c>
      <c r="M85" s="95" t="s">
        <v>13</v>
      </c>
      <c r="N85" s="31" t="s">
        <v>35</v>
      </c>
      <c r="O85" s="42"/>
      <c r="P85" s="95" t="s">
        <v>13</v>
      </c>
      <c r="Q85" s="31" t="s">
        <v>35</v>
      </c>
      <c r="R85" s="42"/>
      <c r="S85" s="95" t="s">
        <v>13</v>
      </c>
      <c r="T85" s="31" t="s">
        <v>35</v>
      </c>
    </row>
    <row r="86" spans="1:20" x14ac:dyDescent="0.2">
      <c r="A86" s="42"/>
      <c r="B86" s="70" t="s">
        <v>1</v>
      </c>
      <c r="C86" s="432" t="s">
        <v>164</v>
      </c>
      <c r="D86" s="445"/>
      <c r="E86" s="88">
        <f>ROUND((1/12+1/12*1/3)/12,4)</f>
        <v>9.2999999999999992E-3</v>
      </c>
      <c r="F86" s="46">
        <f>$F$37*E86</f>
        <v>29.401019999999999</v>
      </c>
      <c r="G86" s="88">
        <f>ROUND((1/12+1/12*1/3)/12,4)</f>
        <v>9.2999999999999992E-3</v>
      </c>
      <c r="H86" s="61">
        <f>$H$37*G86</f>
        <v>30.283124999999998</v>
      </c>
      <c r="I86" s="88">
        <f>ROUND((1/12+1/12*1/3)/12,4)</f>
        <v>9.2999999999999992E-3</v>
      </c>
      <c r="J86" s="46">
        <f>J37*I86</f>
        <v>32.857085999999995</v>
      </c>
      <c r="K86" s="88">
        <f>ROUND((1/12+1/12*1/3)/12,4)</f>
        <v>9.2999999999999992E-3</v>
      </c>
      <c r="L86" s="46">
        <f>L37*K86</f>
        <v>34.779116999999999</v>
      </c>
      <c r="M86" s="88">
        <f>ROUND((1/12+1/12*1/3)/12,4)</f>
        <v>9.2999999999999992E-3</v>
      </c>
      <c r="N86" s="46">
        <f>N37*M86</f>
        <v>36.517937999999994</v>
      </c>
      <c r="O86" s="42"/>
      <c r="P86" s="88">
        <v>0</v>
      </c>
      <c r="Q86" s="46">
        <f>Q37*P86</f>
        <v>0</v>
      </c>
      <c r="R86" s="42"/>
      <c r="S86" s="88">
        <f>ROUND((1/12+1/12*1/3)/12,4)</f>
        <v>9.2999999999999992E-3</v>
      </c>
      <c r="T86" s="46">
        <f>N37*S86</f>
        <v>36.517937999999994</v>
      </c>
    </row>
    <row r="87" spans="1:20" x14ac:dyDescent="0.2">
      <c r="A87" s="42"/>
      <c r="B87" s="71" t="s">
        <v>2</v>
      </c>
      <c r="C87" s="409" t="s">
        <v>165</v>
      </c>
      <c r="D87" s="415"/>
      <c r="E87" s="123">
        <f>((2.96/30)/12)*3%</f>
        <v>2.4666666666666668E-4</v>
      </c>
      <c r="F87" s="82">
        <f>$F$37*E87</f>
        <v>0.77981200000000006</v>
      </c>
      <c r="G87" s="123">
        <f>((2.96/30)/12)*3%</f>
        <v>2.4666666666666668E-4</v>
      </c>
      <c r="H87" s="52">
        <f>$H$37*G87</f>
        <v>0.80320833333333341</v>
      </c>
      <c r="I87" s="123">
        <f>((2.96/30)/12)*3%</f>
        <v>2.4666666666666668E-4</v>
      </c>
      <c r="J87" s="52">
        <f>J37*I87</f>
        <v>0.87147826666666672</v>
      </c>
      <c r="K87" s="123">
        <f>((2.96/30)/12)*3%</f>
        <v>2.4666666666666668E-4</v>
      </c>
      <c r="L87" s="52">
        <f>L37*K87</f>
        <v>0.92245686666666671</v>
      </c>
      <c r="M87" s="123">
        <f>((2.96/30)/12)*3%</f>
        <v>2.4666666666666668E-4</v>
      </c>
      <c r="N87" s="52">
        <f>N37*M87</f>
        <v>0.96857613333333337</v>
      </c>
      <c r="O87" s="42"/>
      <c r="P87" s="123">
        <v>0</v>
      </c>
      <c r="Q87" s="52">
        <f>Q37*P87</f>
        <v>0</v>
      </c>
      <c r="R87" s="42"/>
      <c r="S87" s="123">
        <v>0</v>
      </c>
      <c r="T87" s="52">
        <f>T37*S87</f>
        <v>0</v>
      </c>
    </row>
    <row r="88" spans="1:20" x14ac:dyDescent="0.2">
      <c r="A88" s="42"/>
      <c r="B88" s="71" t="s">
        <v>4</v>
      </c>
      <c r="C88" s="409" t="s">
        <v>166</v>
      </c>
      <c r="D88" s="415"/>
      <c r="E88" s="51">
        <f>ROUND(5/30/12*1.5%,4)</f>
        <v>2.0000000000000001E-4</v>
      </c>
      <c r="F88" s="52">
        <f>$F$37*E88</f>
        <v>0.63228000000000006</v>
      </c>
      <c r="G88" s="51">
        <f>ROUND(5/30/12*1.5%,4)</f>
        <v>2.0000000000000001E-4</v>
      </c>
      <c r="H88" s="52">
        <f>$H$37*G88</f>
        <v>0.65125</v>
      </c>
      <c r="I88" s="51">
        <f>ROUND(5/30/12*1.5%,4)</f>
        <v>2.0000000000000001E-4</v>
      </c>
      <c r="J88" s="52">
        <f>J37*I88</f>
        <v>0.70660400000000001</v>
      </c>
      <c r="K88" s="51">
        <f>ROUND(5/30/12*1.5%,4)</f>
        <v>2.0000000000000001E-4</v>
      </c>
      <c r="L88" s="52">
        <f>L37*K88</f>
        <v>0.74793799999999999</v>
      </c>
      <c r="M88" s="51">
        <f>ROUND(5/30/12*1.5%,4)</f>
        <v>2.0000000000000001E-4</v>
      </c>
      <c r="N88" s="52">
        <f>N37*M88</f>
        <v>0.78533200000000003</v>
      </c>
      <c r="O88" s="42"/>
      <c r="P88" s="51">
        <v>0</v>
      </c>
      <c r="Q88" s="52">
        <f>Q37*P88</f>
        <v>0</v>
      </c>
      <c r="R88" s="42"/>
      <c r="S88" s="51">
        <v>0</v>
      </c>
      <c r="T88" s="52">
        <f>T37*S88</f>
        <v>0</v>
      </c>
    </row>
    <row r="89" spans="1:20" x14ac:dyDescent="0.2">
      <c r="A89" s="42"/>
      <c r="B89" s="71" t="s">
        <v>5</v>
      </c>
      <c r="C89" s="454" t="s">
        <v>167</v>
      </c>
      <c r="D89" s="455"/>
      <c r="E89" s="34">
        <f>ROUND(15/30/12*0.01,4)</f>
        <v>4.0000000000000002E-4</v>
      </c>
      <c r="F89" s="84">
        <f>$F$37*E89</f>
        <v>1.2645600000000001</v>
      </c>
      <c r="G89" s="34">
        <f>ROUND(15/30/12*0.01,4)</f>
        <v>4.0000000000000002E-4</v>
      </c>
      <c r="H89" s="52">
        <f>$H$37*G89</f>
        <v>1.3025</v>
      </c>
      <c r="I89" s="34">
        <f>ROUND(15/30/12*0.01,4)</f>
        <v>4.0000000000000002E-4</v>
      </c>
      <c r="J89" s="52">
        <f>J37*I89</f>
        <v>1.413208</v>
      </c>
      <c r="K89" s="34">
        <f>ROUND(15/30/12*0.01,4)</f>
        <v>4.0000000000000002E-4</v>
      </c>
      <c r="L89" s="52">
        <f>L37*K89</f>
        <v>1.495876</v>
      </c>
      <c r="M89" s="34">
        <f>ROUND(15/30/12*0.01,4)</f>
        <v>4.0000000000000002E-4</v>
      </c>
      <c r="N89" s="52">
        <f>N37*M89</f>
        <v>1.5706640000000001</v>
      </c>
      <c r="O89" s="42"/>
      <c r="P89" s="34">
        <v>0</v>
      </c>
      <c r="Q89" s="52">
        <f>Q37*P89</f>
        <v>0</v>
      </c>
      <c r="R89" s="42"/>
      <c r="S89" s="34">
        <v>0</v>
      </c>
      <c r="T89" s="52">
        <f>T37*S89</f>
        <v>0</v>
      </c>
    </row>
    <row r="90" spans="1:20" x14ac:dyDescent="0.2">
      <c r="A90" s="42"/>
      <c r="B90" s="71" t="s">
        <v>6</v>
      </c>
      <c r="C90" s="409" t="s">
        <v>168</v>
      </c>
      <c r="D90" s="415"/>
      <c r="E90" s="51">
        <f>ROUND(((1/12*4)+(1.33/12*4))/12*0.0025,4)</f>
        <v>2.0000000000000001E-4</v>
      </c>
      <c r="F90" s="52">
        <f>$F$37*E90</f>
        <v>0.63228000000000006</v>
      </c>
      <c r="G90" s="51">
        <f>ROUND(((1/12*4)+(1.33/12*4))/12*0.0025,4)</f>
        <v>2.0000000000000001E-4</v>
      </c>
      <c r="H90" s="52">
        <f>$H$37*G90</f>
        <v>0.65125</v>
      </c>
      <c r="I90" s="51">
        <f>ROUND(((1/12*4)+(1.33/12*4))/12*0.0025,4)</f>
        <v>2.0000000000000001E-4</v>
      </c>
      <c r="J90" s="52">
        <f>J37*I90</f>
        <v>0.70660400000000001</v>
      </c>
      <c r="K90" s="51">
        <f>ROUND(((1/12*4)+(1.33/12*4))/12*0.0025,4)</f>
        <v>2.0000000000000001E-4</v>
      </c>
      <c r="L90" s="52">
        <f>L37*K90</f>
        <v>0.74793799999999999</v>
      </c>
      <c r="M90" s="51">
        <f>ROUND(((1/12*4)+(1.33/12*4))/12*0.0025,4)</f>
        <v>2.0000000000000001E-4</v>
      </c>
      <c r="N90" s="52">
        <f>N37*M90</f>
        <v>0.78533200000000003</v>
      </c>
      <c r="O90" s="42"/>
      <c r="P90" s="51">
        <v>0</v>
      </c>
      <c r="Q90" s="52">
        <f>Q37*P90</f>
        <v>0</v>
      </c>
      <c r="R90" s="42"/>
      <c r="S90" s="51">
        <v>0</v>
      </c>
      <c r="T90" s="52">
        <f>T37*S90</f>
        <v>0</v>
      </c>
    </row>
    <row r="91" spans="1:20" ht="13.5" thickBot="1" x14ac:dyDescent="0.25">
      <c r="A91" s="42"/>
      <c r="B91" s="80" t="s">
        <v>7</v>
      </c>
      <c r="C91" s="378" t="s">
        <v>169</v>
      </c>
      <c r="D91" s="446"/>
      <c r="E91" s="53"/>
      <c r="F91" s="54">
        <f>ROUND($F$37*E91,2)</f>
        <v>0</v>
      </c>
      <c r="G91" s="53"/>
      <c r="H91" s="81">
        <f>ROUND($H$37*G91,2)</f>
        <v>0</v>
      </c>
      <c r="I91" s="53"/>
      <c r="J91" s="52">
        <f>ROUND($N$37*I91,2)</f>
        <v>0</v>
      </c>
      <c r="K91" s="53"/>
      <c r="L91" s="52">
        <f>ROUND($N$37*K91,2)</f>
        <v>0</v>
      </c>
      <c r="M91" s="53"/>
      <c r="N91" s="52">
        <f>ROUND($N$37*M91,2)</f>
        <v>0</v>
      </c>
      <c r="O91" s="42"/>
      <c r="P91" s="53"/>
      <c r="Q91" s="52">
        <f>ROUND($N$37*P91,2)</f>
        <v>0</v>
      </c>
      <c r="R91" s="42"/>
      <c r="S91" s="53"/>
      <c r="T91" s="52">
        <f>ROUND($N$37*S91,2)</f>
        <v>0</v>
      </c>
    </row>
    <row r="92" spans="1:20" ht="15.75" thickBot="1" x14ac:dyDescent="0.3">
      <c r="A92" s="42"/>
      <c r="B92" s="369" t="s">
        <v>16</v>
      </c>
      <c r="C92" s="370"/>
      <c r="D92" s="370"/>
      <c r="E92" s="146">
        <f>SUM(E86:E91)</f>
        <v>1.0346666666666665E-2</v>
      </c>
      <c r="F92" s="5">
        <f>SUM(F86:F91)</f>
        <v>32.709952000000001</v>
      </c>
      <c r="G92" s="41"/>
      <c r="H92" s="5">
        <f>SUM(H86:H91)</f>
        <v>33.691333333333333</v>
      </c>
      <c r="I92" s="41"/>
      <c r="J92" s="5">
        <f>SUM(J86:J91)</f>
        <v>36.554980266666654</v>
      </c>
      <c r="K92" s="41"/>
      <c r="L92" s="5">
        <f>SUM(L86:L91)</f>
        <v>38.693325866666662</v>
      </c>
      <c r="M92" s="41"/>
      <c r="N92" s="5">
        <f>SUM(N86:N91)</f>
        <v>40.627842133333324</v>
      </c>
      <c r="O92" s="42"/>
      <c r="P92" s="41"/>
      <c r="Q92" s="5">
        <f>SUM(Q86:Q91)</f>
        <v>0</v>
      </c>
      <c r="R92" s="42"/>
      <c r="S92" s="41"/>
      <c r="T92" s="5">
        <f>SUM(T86:T91)</f>
        <v>36.517937999999994</v>
      </c>
    </row>
    <row r="93" spans="1:20" ht="15.75" thickBot="1" x14ac:dyDescent="0.3">
      <c r="A93" s="42"/>
      <c r="B93" s="135"/>
      <c r="C93" s="135"/>
      <c r="D93" s="135"/>
      <c r="E93" s="87"/>
      <c r="F93" s="25"/>
      <c r="G93" s="42"/>
      <c r="H93" s="25"/>
      <c r="I93" s="42"/>
      <c r="J93" s="25"/>
      <c r="K93" s="42"/>
      <c r="L93" s="25"/>
      <c r="M93" s="42"/>
      <c r="N93" s="25"/>
      <c r="O93" s="42"/>
      <c r="P93" s="42"/>
      <c r="Q93" s="25"/>
      <c r="R93" s="42"/>
      <c r="S93" s="42"/>
      <c r="T93" s="25"/>
    </row>
    <row r="94" spans="1:20" ht="15.75" thickBot="1" x14ac:dyDescent="0.3">
      <c r="A94" s="42"/>
      <c r="B94" s="369" t="s">
        <v>107</v>
      </c>
      <c r="C94" s="370"/>
      <c r="D94" s="370"/>
      <c r="E94" s="370"/>
      <c r="F94" s="370"/>
      <c r="G94" s="370"/>
      <c r="H94" s="370"/>
      <c r="I94" s="370"/>
      <c r="J94" s="370"/>
      <c r="K94" s="370"/>
      <c r="L94" s="370"/>
      <c r="M94" s="370"/>
      <c r="N94" s="371"/>
      <c r="O94" s="42"/>
      <c r="P94" s="42"/>
      <c r="Q94" s="42"/>
      <c r="R94" s="42"/>
      <c r="S94" s="42"/>
      <c r="T94" s="42"/>
    </row>
    <row r="95" spans="1:20" ht="15.75" thickBot="1" x14ac:dyDescent="0.3">
      <c r="A95" s="42"/>
      <c r="B95" s="65" t="s">
        <v>49</v>
      </c>
      <c r="C95" s="369" t="s">
        <v>108</v>
      </c>
      <c r="D95" s="371"/>
      <c r="E95" s="134" t="s">
        <v>13</v>
      </c>
      <c r="F95" s="133" t="s">
        <v>35</v>
      </c>
      <c r="G95" s="4" t="s">
        <v>13</v>
      </c>
      <c r="H95" s="4" t="s">
        <v>35</v>
      </c>
      <c r="I95" s="4" t="s">
        <v>13</v>
      </c>
      <c r="J95" s="138" t="s">
        <v>35</v>
      </c>
      <c r="K95" s="4" t="s">
        <v>13</v>
      </c>
      <c r="L95" s="138" t="s">
        <v>35</v>
      </c>
      <c r="M95" s="4" t="s">
        <v>13</v>
      </c>
      <c r="N95" s="138" t="s">
        <v>35</v>
      </c>
      <c r="O95" s="42"/>
      <c r="P95" s="4" t="s">
        <v>13</v>
      </c>
      <c r="Q95" s="138" t="s">
        <v>35</v>
      </c>
      <c r="R95" s="42"/>
      <c r="S95" s="4" t="s">
        <v>13</v>
      </c>
      <c r="T95" s="138" t="s">
        <v>35</v>
      </c>
    </row>
    <row r="96" spans="1:20" ht="13.5" thickBot="1" x14ac:dyDescent="0.25">
      <c r="A96" s="42"/>
      <c r="B96" s="70" t="s">
        <v>1</v>
      </c>
      <c r="C96" s="432" t="s">
        <v>109</v>
      </c>
      <c r="D96" s="445"/>
      <c r="E96" s="49"/>
      <c r="F96" s="50">
        <f>ROUND($F$37*E96,2)</f>
        <v>0</v>
      </c>
      <c r="G96" s="49"/>
      <c r="H96" s="101">
        <f>ROUND($H$37*G96,2)</f>
        <v>0</v>
      </c>
      <c r="I96" s="57"/>
      <c r="J96" s="50">
        <f>ROUND(J37*I96,2)</f>
        <v>0</v>
      </c>
      <c r="K96" s="57"/>
      <c r="L96" s="50">
        <f>ROUND(L37*K96,2)</f>
        <v>0</v>
      </c>
      <c r="M96" s="57"/>
      <c r="N96" s="50">
        <f>ROUND(N37*M96,2)</f>
        <v>0</v>
      </c>
      <c r="O96" s="42"/>
      <c r="P96" s="57"/>
      <c r="Q96" s="50">
        <f>ROUND(Q37*P96,2)</f>
        <v>0</v>
      </c>
      <c r="R96" s="42"/>
      <c r="S96" s="57"/>
      <c r="T96" s="50">
        <f>ROUND(T37*S96,2)</f>
        <v>0</v>
      </c>
    </row>
    <row r="97" spans="1:20" ht="13.5" customHeight="1" thickBot="1" x14ac:dyDescent="0.3">
      <c r="A97" s="42"/>
      <c r="B97" s="369" t="s">
        <v>16</v>
      </c>
      <c r="C97" s="370"/>
      <c r="D97" s="370"/>
      <c r="E97" s="371"/>
      <c r="F97" s="5">
        <f>F96</f>
        <v>0</v>
      </c>
      <c r="G97" s="41"/>
      <c r="H97" s="12">
        <f>H96</f>
        <v>0</v>
      </c>
      <c r="I97" s="41"/>
      <c r="J97" s="5">
        <f>J96</f>
        <v>0</v>
      </c>
      <c r="K97" s="41"/>
      <c r="L97" s="5">
        <f>L96</f>
        <v>0</v>
      </c>
      <c r="M97" s="41"/>
      <c r="N97" s="5">
        <f>N96</f>
        <v>0</v>
      </c>
      <c r="O97" s="42"/>
      <c r="P97" s="41"/>
      <c r="Q97" s="5">
        <f>Q96</f>
        <v>0</v>
      </c>
      <c r="R97" s="42"/>
      <c r="S97" s="41"/>
      <c r="T97" s="5">
        <f>T96</f>
        <v>0</v>
      </c>
    </row>
    <row r="98" spans="1:20" ht="13.5" customHeight="1" thickBot="1" x14ac:dyDescent="0.3">
      <c r="A98" s="42"/>
      <c r="B98" s="135"/>
      <c r="C98" s="135"/>
      <c r="D98" s="135"/>
      <c r="E98" s="135"/>
      <c r="F98" s="25"/>
      <c r="G98" s="42"/>
      <c r="H98" s="25"/>
      <c r="I98" s="42"/>
      <c r="J98" s="25"/>
      <c r="K98" s="42"/>
      <c r="L98" s="25"/>
      <c r="M98" s="42"/>
      <c r="N98" s="25"/>
      <c r="O98" s="42"/>
      <c r="P98" s="42"/>
      <c r="Q98" s="25"/>
      <c r="R98" s="42"/>
      <c r="S98" s="42"/>
      <c r="T98" s="25"/>
    </row>
    <row r="99" spans="1:20" ht="15.75" thickBot="1" x14ac:dyDescent="0.3">
      <c r="A99" s="42"/>
      <c r="B99" s="369" t="s">
        <v>110</v>
      </c>
      <c r="C99" s="370"/>
      <c r="D99" s="370"/>
      <c r="E99" s="370"/>
      <c r="F99" s="370"/>
      <c r="G99" s="370"/>
      <c r="H99" s="370"/>
      <c r="I99" s="370"/>
      <c r="J99" s="370"/>
      <c r="K99" s="370"/>
      <c r="L99" s="370"/>
      <c r="M99" s="370"/>
      <c r="N99" s="371"/>
      <c r="O99" s="42"/>
      <c r="P99" s="42"/>
      <c r="Q99" s="42"/>
      <c r="R99" s="42"/>
      <c r="S99" s="42"/>
      <c r="T99" s="42"/>
    </row>
    <row r="100" spans="1:20" ht="15.75" thickBot="1" x14ac:dyDescent="0.3">
      <c r="A100" s="42"/>
      <c r="B100" s="139">
        <v>4</v>
      </c>
      <c r="C100" s="370" t="s">
        <v>47</v>
      </c>
      <c r="D100" s="371"/>
      <c r="E100" s="134" t="s">
        <v>13</v>
      </c>
      <c r="F100" s="136" t="s">
        <v>35</v>
      </c>
      <c r="G100" s="4" t="s">
        <v>13</v>
      </c>
      <c r="H100" s="4" t="s">
        <v>35</v>
      </c>
      <c r="I100" s="4" t="s">
        <v>13</v>
      </c>
      <c r="J100" s="138" t="s">
        <v>35</v>
      </c>
      <c r="K100" s="4" t="s">
        <v>13</v>
      </c>
      <c r="L100" s="138" t="s">
        <v>35</v>
      </c>
      <c r="M100" s="4" t="s">
        <v>13</v>
      </c>
      <c r="N100" s="138" t="s">
        <v>35</v>
      </c>
      <c r="O100" s="42"/>
      <c r="P100" s="4" t="s">
        <v>13</v>
      </c>
      <c r="Q100" s="138" t="s">
        <v>35</v>
      </c>
      <c r="R100" s="42"/>
      <c r="S100" s="4" t="s">
        <v>13</v>
      </c>
      <c r="T100" s="138" t="s">
        <v>35</v>
      </c>
    </row>
    <row r="101" spans="1:20" x14ac:dyDescent="0.2">
      <c r="A101" s="42"/>
      <c r="B101" s="70" t="s">
        <v>48</v>
      </c>
      <c r="C101" s="432" t="s">
        <v>46</v>
      </c>
      <c r="D101" s="445"/>
      <c r="E101" s="145">
        <f>E92</f>
        <v>1.0346666666666665E-2</v>
      </c>
      <c r="F101" s="59">
        <f>F92</f>
        <v>32.709952000000001</v>
      </c>
      <c r="G101" s="49"/>
      <c r="H101" s="59">
        <f>H92</f>
        <v>33.691333333333333</v>
      </c>
      <c r="I101" s="49"/>
      <c r="J101" s="46">
        <f>J92</f>
        <v>36.554980266666654</v>
      </c>
      <c r="K101" s="49"/>
      <c r="L101" s="46">
        <f>L92</f>
        <v>38.693325866666662</v>
      </c>
      <c r="M101" s="49"/>
      <c r="N101" s="46">
        <f>N92</f>
        <v>40.627842133333324</v>
      </c>
      <c r="O101" s="42"/>
      <c r="P101" s="49"/>
      <c r="Q101" s="46">
        <f>Q92</f>
        <v>0</v>
      </c>
      <c r="R101" s="42"/>
      <c r="S101" s="49"/>
      <c r="T101" s="46">
        <f>T92</f>
        <v>36.517937999999994</v>
      </c>
    </row>
    <row r="102" spans="1:20" ht="13.5" thickBot="1" x14ac:dyDescent="0.25">
      <c r="A102" s="42"/>
      <c r="B102" s="71" t="s">
        <v>49</v>
      </c>
      <c r="C102" s="409" t="s">
        <v>108</v>
      </c>
      <c r="D102" s="415"/>
      <c r="E102" s="51"/>
      <c r="F102" s="59">
        <f>F97</f>
        <v>0</v>
      </c>
      <c r="G102" s="51"/>
      <c r="H102" s="59">
        <f>H97</f>
        <v>0</v>
      </c>
      <c r="I102" s="51"/>
      <c r="J102" s="58">
        <f>J97</f>
        <v>0</v>
      </c>
      <c r="K102" s="51"/>
      <c r="L102" s="58">
        <f>L97</f>
        <v>0</v>
      </c>
      <c r="M102" s="51"/>
      <c r="N102" s="58">
        <f>N97</f>
        <v>0</v>
      </c>
      <c r="O102" s="42"/>
      <c r="P102" s="51"/>
      <c r="Q102" s="58">
        <f>Q97</f>
        <v>0</v>
      </c>
      <c r="R102" s="42"/>
      <c r="S102" s="51"/>
      <c r="T102" s="58">
        <f>T97</f>
        <v>0</v>
      </c>
    </row>
    <row r="103" spans="1:20" ht="15.75" thickBot="1" x14ac:dyDescent="0.3">
      <c r="A103" s="42"/>
      <c r="B103" s="369" t="s">
        <v>16</v>
      </c>
      <c r="C103" s="370"/>
      <c r="D103" s="370"/>
      <c r="E103" s="100"/>
      <c r="F103" s="5">
        <f>SUM(F101:F102)</f>
        <v>32.709952000000001</v>
      </c>
      <c r="G103" s="60"/>
      <c r="H103" s="13">
        <f>SUM(H101:H102)</f>
        <v>33.691333333333333</v>
      </c>
      <c r="I103" s="41"/>
      <c r="J103" s="5">
        <f>SUM(J101:J102)</f>
        <v>36.554980266666654</v>
      </c>
      <c r="K103" s="41"/>
      <c r="L103" s="5">
        <f>SUM(L101:L102)</f>
        <v>38.693325866666662</v>
      </c>
      <c r="M103" s="41"/>
      <c r="N103" s="5">
        <f>SUM(N101:N102)</f>
        <v>40.627842133333324</v>
      </c>
      <c r="O103" s="42"/>
      <c r="P103" s="41"/>
      <c r="Q103" s="5">
        <f>SUM(Q101:Q102)</f>
        <v>0</v>
      </c>
      <c r="R103" s="42"/>
      <c r="S103" s="41"/>
      <c r="T103" s="5">
        <f>SUM(T101:T102)</f>
        <v>36.517937999999994</v>
      </c>
    </row>
    <row r="104" spans="1:20" ht="15.75" thickBot="1" x14ac:dyDescent="0.3">
      <c r="A104" s="42"/>
      <c r="B104" s="42"/>
      <c r="C104" s="87"/>
      <c r="D104" s="87"/>
      <c r="E104" s="87"/>
      <c r="F104" s="25"/>
      <c r="G104" s="42"/>
      <c r="H104" s="25"/>
      <c r="I104" s="42"/>
      <c r="J104" s="25"/>
      <c r="K104" s="42"/>
      <c r="L104" s="25"/>
      <c r="M104" s="42"/>
      <c r="N104" s="25"/>
      <c r="O104" s="42"/>
      <c r="P104" s="42"/>
      <c r="Q104" s="25"/>
      <c r="R104" s="42"/>
      <c r="S104" s="42"/>
      <c r="T104" s="25"/>
    </row>
    <row r="105" spans="1:20" ht="15.75" thickBot="1" x14ac:dyDescent="0.3">
      <c r="A105" s="42"/>
      <c r="B105" s="369" t="s">
        <v>111</v>
      </c>
      <c r="C105" s="370"/>
      <c r="D105" s="370"/>
      <c r="E105" s="370"/>
      <c r="F105" s="370"/>
      <c r="G105" s="370"/>
      <c r="H105" s="370"/>
      <c r="I105" s="370"/>
      <c r="J105" s="370"/>
      <c r="K105" s="370"/>
      <c r="L105" s="370"/>
      <c r="M105" s="370"/>
      <c r="N105" s="371"/>
      <c r="O105" s="42"/>
      <c r="P105" s="42"/>
      <c r="Q105" s="42"/>
      <c r="R105" s="42"/>
      <c r="S105" s="42"/>
      <c r="T105" s="42"/>
    </row>
    <row r="106" spans="1:20" ht="15.75" thickBot="1" x14ac:dyDescent="0.3">
      <c r="A106" s="42"/>
      <c r="B106" s="65">
        <v>5</v>
      </c>
      <c r="C106" s="456" t="s">
        <v>15</v>
      </c>
      <c r="D106" s="457"/>
      <c r="E106" s="28" t="s">
        <v>13</v>
      </c>
      <c r="F106" s="30" t="s">
        <v>35</v>
      </c>
      <c r="G106" s="95" t="s">
        <v>13</v>
      </c>
      <c r="H106" s="95" t="s">
        <v>35</v>
      </c>
      <c r="I106" s="95" t="s">
        <v>13</v>
      </c>
      <c r="J106" s="31" t="s">
        <v>35</v>
      </c>
      <c r="K106" s="95" t="s">
        <v>13</v>
      </c>
      <c r="L106" s="31" t="s">
        <v>35</v>
      </c>
      <c r="M106" s="95" t="s">
        <v>13</v>
      </c>
      <c r="N106" s="31" t="s">
        <v>35</v>
      </c>
      <c r="O106" s="42"/>
      <c r="P106" s="95" t="s">
        <v>13</v>
      </c>
      <c r="Q106" s="31" t="s">
        <v>35</v>
      </c>
      <c r="R106" s="42"/>
      <c r="S106" s="95" t="s">
        <v>13</v>
      </c>
      <c r="T106" s="31" t="s">
        <v>35</v>
      </c>
    </row>
    <row r="107" spans="1:20" x14ac:dyDescent="0.2">
      <c r="A107" s="42"/>
      <c r="B107" s="70" t="s">
        <v>1</v>
      </c>
      <c r="C107" s="432" t="s">
        <v>38</v>
      </c>
      <c r="D107" s="445"/>
      <c r="E107" s="49"/>
      <c r="F107" s="46">
        <f>Uniforme!$E$12</f>
        <v>48.333333333333336</v>
      </c>
      <c r="G107" s="49"/>
      <c r="H107" s="46">
        <f>Uniforme!$E$12</f>
        <v>48.333333333333336</v>
      </c>
      <c r="I107" s="49"/>
      <c r="J107" s="46">
        <f>Uniforme!$E$12</f>
        <v>48.333333333333336</v>
      </c>
      <c r="K107" s="49"/>
      <c r="L107" s="46">
        <f>Uniforme!$E$12</f>
        <v>48.333333333333336</v>
      </c>
      <c r="M107" s="49"/>
      <c r="N107" s="46">
        <f>Uniforme!$E$12</f>
        <v>48.333333333333336</v>
      </c>
      <c r="O107" s="42"/>
      <c r="P107" s="49"/>
      <c r="Q107" s="46">
        <f>Uniforme!$E$12</f>
        <v>48.333333333333336</v>
      </c>
      <c r="R107" s="42"/>
      <c r="S107" s="49"/>
      <c r="T107" s="46">
        <v>0</v>
      </c>
    </row>
    <row r="108" spans="1:20" x14ac:dyDescent="0.2">
      <c r="A108" s="42"/>
      <c r="B108" s="71" t="s">
        <v>2</v>
      </c>
      <c r="C108" s="409" t="s">
        <v>39</v>
      </c>
      <c r="D108" s="415"/>
      <c r="E108" s="51"/>
      <c r="F108" s="82">
        <f>Materiais!$H$36</f>
        <v>1.5299999999999998</v>
      </c>
      <c r="G108" s="51"/>
      <c r="H108" s="82">
        <f>Materiais!$H$36</f>
        <v>1.5299999999999998</v>
      </c>
      <c r="I108" s="51"/>
      <c r="J108" s="82">
        <f>Materiais!$H$36</f>
        <v>1.5299999999999998</v>
      </c>
      <c r="K108" s="51"/>
      <c r="L108" s="82">
        <f>Materiais!$H$36</f>
        <v>1.5299999999999998</v>
      </c>
      <c r="M108" s="51"/>
      <c r="N108" s="82">
        <f>Materiais!$H$36</f>
        <v>1.5299999999999998</v>
      </c>
      <c r="O108" s="42"/>
      <c r="P108" s="51"/>
      <c r="Q108" s="82">
        <f>Materiais!$H$36</f>
        <v>1.5299999999999998</v>
      </c>
      <c r="R108" s="42"/>
      <c r="S108" s="51"/>
      <c r="T108" s="82">
        <v>0</v>
      </c>
    </row>
    <row r="109" spans="1:20" x14ac:dyDescent="0.2">
      <c r="A109" s="42"/>
      <c r="B109" s="71" t="s">
        <v>4</v>
      </c>
      <c r="C109" s="409" t="s">
        <v>220</v>
      </c>
      <c r="D109" s="415"/>
      <c r="E109" s="51"/>
      <c r="F109" s="52">
        <f>Equipamento!$I$7</f>
        <v>1.0256410256410258</v>
      </c>
      <c r="G109" s="51"/>
      <c r="H109" s="52">
        <f>Equipamento!$I$7</f>
        <v>1.0256410256410258</v>
      </c>
      <c r="I109" s="51"/>
      <c r="J109" s="52">
        <f>Equipamento!$I$7</f>
        <v>1.0256410256410258</v>
      </c>
      <c r="K109" s="51"/>
      <c r="L109" s="52">
        <f>Equipamento!$I$7</f>
        <v>1.0256410256410258</v>
      </c>
      <c r="M109" s="51"/>
      <c r="N109" s="52">
        <f>Equipamento!$I$7</f>
        <v>1.0256410256410258</v>
      </c>
      <c r="O109" s="42"/>
      <c r="P109" s="51"/>
      <c r="Q109" s="52">
        <f>Equipamento!$I$7</f>
        <v>1.0256410256410258</v>
      </c>
      <c r="R109" s="42"/>
      <c r="S109" s="51"/>
      <c r="T109" s="52">
        <v>0</v>
      </c>
    </row>
    <row r="110" spans="1:20" ht="13.5" thickBot="1" x14ac:dyDescent="0.25">
      <c r="A110" s="42"/>
      <c r="B110" s="71" t="s">
        <v>5</v>
      </c>
      <c r="C110" s="409" t="s">
        <v>37</v>
      </c>
      <c r="D110" s="415"/>
      <c r="E110" s="34"/>
      <c r="F110" s="98"/>
      <c r="G110" s="34"/>
      <c r="H110" s="54"/>
      <c r="I110" s="51"/>
      <c r="J110" s="52"/>
      <c r="K110" s="51"/>
      <c r="L110" s="52"/>
      <c r="M110" s="51"/>
      <c r="N110" s="52"/>
      <c r="O110" s="42"/>
      <c r="P110" s="51"/>
      <c r="Q110" s="52"/>
      <c r="R110" s="42"/>
      <c r="S110" s="51"/>
      <c r="T110" s="52"/>
    </row>
    <row r="111" spans="1:20" ht="15.75" thickBot="1" x14ac:dyDescent="0.3">
      <c r="A111" s="42"/>
      <c r="B111" s="41"/>
      <c r="C111" s="438" t="s">
        <v>16</v>
      </c>
      <c r="D111" s="439"/>
      <c r="E111" s="440"/>
      <c r="F111" s="5">
        <f>SUM(F107:F110)</f>
        <v>50.888974358974366</v>
      </c>
      <c r="G111" s="41"/>
      <c r="H111" s="5">
        <f>SUM(H107:H110)</f>
        <v>50.888974358974366</v>
      </c>
      <c r="I111" s="41"/>
      <c r="J111" s="5">
        <f>SUM(J107:J110)</f>
        <v>50.888974358974366</v>
      </c>
      <c r="K111" s="41"/>
      <c r="L111" s="5">
        <f>SUM(L107:L110)</f>
        <v>50.888974358974366</v>
      </c>
      <c r="M111" s="41"/>
      <c r="N111" s="5">
        <f>SUM(N107:N110)</f>
        <v>50.888974358974366</v>
      </c>
      <c r="O111" s="42"/>
      <c r="P111" s="41"/>
      <c r="Q111" s="5">
        <f>SUM(Q107:Q110)</f>
        <v>50.888974358974366</v>
      </c>
      <c r="R111" s="42"/>
      <c r="S111" s="41"/>
      <c r="T111" s="5">
        <f>SUM(T107:T110)</f>
        <v>0</v>
      </c>
    </row>
    <row r="112" spans="1:20" ht="15.75" thickBot="1" x14ac:dyDescent="0.3">
      <c r="A112" s="42"/>
      <c r="B112" s="42"/>
      <c r="C112" s="87"/>
      <c r="D112" s="87"/>
      <c r="E112" s="87"/>
      <c r="F112" s="25"/>
      <c r="G112" s="42"/>
      <c r="H112" s="25"/>
      <c r="I112" s="42"/>
      <c r="J112" s="25"/>
      <c r="K112" s="42"/>
      <c r="L112" s="25"/>
      <c r="M112" s="42"/>
      <c r="N112" s="25"/>
      <c r="O112" s="42"/>
      <c r="P112" s="42"/>
      <c r="Q112" s="25"/>
      <c r="R112" s="42"/>
      <c r="S112" s="42"/>
      <c r="T112" s="25"/>
    </row>
    <row r="113" spans="1:20" ht="15.75" thickBot="1" x14ac:dyDescent="0.3">
      <c r="A113" s="42"/>
      <c r="B113" s="369" t="s">
        <v>124</v>
      </c>
      <c r="C113" s="370"/>
      <c r="D113" s="370"/>
      <c r="E113" s="370"/>
      <c r="F113" s="370"/>
      <c r="G113" s="370"/>
      <c r="H113" s="370"/>
      <c r="I113" s="370"/>
      <c r="J113" s="370"/>
      <c r="K113" s="370"/>
      <c r="L113" s="370"/>
      <c r="M113" s="370"/>
      <c r="N113" s="371"/>
      <c r="O113" s="42"/>
      <c r="P113" s="42"/>
      <c r="Q113" s="42"/>
      <c r="R113" s="42"/>
      <c r="S113" s="42"/>
      <c r="T113" s="42"/>
    </row>
    <row r="114" spans="1:20" ht="15.75" thickBot="1" x14ac:dyDescent="0.3">
      <c r="A114" s="42"/>
      <c r="B114" s="65">
        <v>6</v>
      </c>
      <c r="C114" s="456" t="s">
        <v>59</v>
      </c>
      <c r="D114" s="457"/>
      <c r="E114" s="28" t="s">
        <v>13</v>
      </c>
      <c r="F114" s="30" t="s">
        <v>35</v>
      </c>
      <c r="G114" s="65" t="s">
        <v>13</v>
      </c>
      <c r="H114" s="66" t="s">
        <v>35</v>
      </c>
      <c r="I114" s="65" t="s">
        <v>13</v>
      </c>
      <c r="J114" s="66" t="s">
        <v>35</v>
      </c>
      <c r="K114" s="65" t="s">
        <v>13</v>
      </c>
      <c r="L114" s="66" t="s">
        <v>35</v>
      </c>
      <c r="M114" s="65" t="s">
        <v>13</v>
      </c>
      <c r="N114" s="66" t="s">
        <v>35</v>
      </c>
      <c r="O114" s="42"/>
      <c r="P114" s="65" t="s">
        <v>13</v>
      </c>
      <c r="Q114" s="66" t="s">
        <v>35</v>
      </c>
      <c r="R114" s="42"/>
      <c r="S114" s="65" t="s">
        <v>13</v>
      </c>
      <c r="T114" s="66" t="s">
        <v>35</v>
      </c>
    </row>
    <row r="115" spans="1:20" x14ac:dyDescent="0.2">
      <c r="A115" s="42"/>
      <c r="B115" s="70" t="s">
        <v>1</v>
      </c>
      <c r="C115" s="432" t="s">
        <v>50</v>
      </c>
      <c r="D115" s="445"/>
      <c r="E115" s="57">
        <v>7.4000000000000003E-3</v>
      </c>
      <c r="F115" s="47">
        <f>F130*E115</f>
        <v>43.885412093643751</v>
      </c>
      <c r="G115" s="57">
        <v>7.4000000000000003E-3</v>
      </c>
      <c r="H115" s="47">
        <f>H130*G115</f>
        <v>45.197154639752931</v>
      </c>
      <c r="I115" s="57">
        <v>7.4000000000000003E-3</v>
      </c>
      <c r="J115" s="47">
        <f>J130*I115</f>
        <v>48.896164448929802</v>
      </c>
      <c r="K115" s="57">
        <v>7.4000000000000003E-3</v>
      </c>
      <c r="L115" s="47">
        <f>L130*K115</f>
        <v>51.657853002364718</v>
      </c>
      <c r="M115" s="57">
        <v>7.4000000000000003E-3</v>
      </c>
      <c r="N115" s="47">
        <f>N130*M115</f>
        <v>54.156004715997696</v>
      </c>
      <c r="O115" s="42"/>
      <c r="P115" s="57">
        <v>7.4000000000000003E-3</v>
      </c>
      <c r="Q115" s="47">
        <f>Q130*P115</f>
        <v>42.877300108256421</v>
      </c>
      <c r="R115" s="42"/>
      <c r="S115" s="57">
        <v>7.4000000000000003E-3</v>
      </c>
      <c r="T115" s="47">
        <f>T130*S115</f>
        <v>52.689573077200002</v>
      </c>
    </row>
    <row r="116" spans="1:20" x14ac:dyDescent="0.2">
      <c r="A116" s="42"/>
      <c r="B116" s="80" t="s">
        <v>2</v>
      </c>
      <c r="C116" s="378" t="s">
        <v>0</v>
      </c>
      <c r="D116" s="446"/>
      <c r="E116" s="67">
        <v>5.0000000000000001E-3</v>
      </c>
      <c r="F116" s="63">
        <f>(F130+F115)*E116</f>
        <v>29.871732529146431</v>
      </c>
      <c r="G116" s="67">
        <v>5.0000000000000001E-3</v>
      </c>
      <c r="H116" s="63">
        <f>(H130+H115)*G116</f>
        <v>30.764603773031823</v>
      </c>
      <c r="I116" s="67">
        <v>5.0000000000000001E-3</v>
      </c>
      <c r="J116" s="63">
        <f>(J130+J115)*I116</f>
        <v>33.282429774224241</v>
      </c>
      <c r="K116" s="67">
        <v>5.0000000000000001E-3</v>
      </c>
      <c r="L116" s="63">
        <f>(L130+L115)*K116</f>
        <v>35.162243996339335</v>
      </c>
      <c r="M116" s="67">
        <v>5.0000000000000001E-3</v>
      </c>
      <c r="N116" s="63">
        <f>(N130+N115)*M116</f>
        <v>36.86267510195681</v>
      </c>
      <c r="O116" s="42"/>
      <c r="P116" s="67">
        <v>5.0000000000000001E-3</v>
      </c>
      <c r="Q116" s="63">
        <f>(Q130+Q115)*P116</f>
        <v>29.185535222336156</v>
      </c>
      <c r="R116" s="42"/>
      <c r="S116" s="67">
        <v>5.0000000000000001E-3</v>
      </c>
      <c r="T116" s="63">
        <f>(T130+T115)*S116</f>
        <v>35.864510755386</v>
      </c>
    </row>
    <row r="117" spans="1:20" x14ac:dyDescent="0.2">
      <c r="A117" s="42"/>
      <c r="B117" s="71" t="s">
        <v>4</v>
      </c>
      <c r="C117" s="409" t="s">
        <v>14</v>
      </c>
      <c r="D117" s="415"/>
      <c r="E117" s="27">
        <f t="shared" ref="E117:N117" si="6">SUM(E118:E120)</f>
        <v>8.6499999999999994E-2</v>
      </c>
      <c r="F117" s="62">
        <f t="shared" si="6"/>
        <v>568.54460500000005</v>
      </c>
      <c r="G117" s="27">
        <f t="shared" si="6"/>
        <v>8.6499999999999994E-2</v>
      </c>
      <c r="H117" s="62">
        <f t="shared" si="6"/>
        <v>585.53652999999997</v>
      </c>
      <c r="I117" s="27">
        <f>SUM(I118:I120)</f>
        <v>8.6499999999999994E-2</v>
      </c>
      <c r="J117" s="62">
        <f>SUM(J118:J120)</f>
        <v>672.84789499999999</v>
      </c>
      <c r="K117" s="27">
        <f t="shared" ref="K117:L117" si="7">SUM(K118:K120)</f>
        <v>8.6499999999999994E-2</v>
      </c>
      <c r="L117" s="62">
        <f t="shared" si="7"/>
        <v>687.94502499999999</v>
      </c>
      <c r="M117" s="27">
        <f t="shared" si="6"/>
        <v>8.6499999999999994E-2</v>
      </c>
      <c r="N117" s="62">
        <f t="shared" si="6"/>
        <v>701.60149999999999</v>
      </c>
      <c r="O117" s="42"/>
      <c r="P117" s="27">
        <f>SUM(P118:P120)</f>
        <v>8.6499999999999994E-2</v>
      </c>
      <c r="Q117" s="62">
        <f>SUM(Q118:Q120)</f>
        <v>639.94497000000001</v>
      </c>
      <c r="R117" s="42"/>
      <c r="S117" s="27">
        <f>SUM(S118:S120)</f>
        <v>8.6499999999999994E-2</v>
      </c>
      <c r="T117" s="62">
        <f>SUM(T118:T120)</f>
        <v>693.58500499999991</v>
      </c>
    </row>
    <row r="118" spans="1:20" x14ac:dyDescent="0.2">
      <c r="A118" s="42"/>
      <c r="B118" s="71"/>
      <c r="C118" s="409" t="s">
        <v>120</v>
      </c>
      <c r="D118" s="415"/>
      <c r="E118" s="34">
        <v>6.4999999999999997E-3</v>
      </c>
      <c r="F118" s="62">
        <f>E118*F132</f>
        <v>42.723005000000001</v>
      </c>
      <c r="G118" s="34">
        <v>6.4999999999999997E-3</v>
      </c>
      <c r="H118" s="62">
        <f>G118*H132</f>
        <v>43.999929999999999</v>
      </c>
      <c r="I118" s="34">
        <v>6.4999999999999997E-3</v>
      </c>
      <c r="J118" s="62">
        <f>I118*J132</f>
        <v>47.600994999999998</v>
      </c>
      <c r="K118" s="34">
        <v>6.4999999999999997E-3</v>
      </c>
      <c r="L118" s="62">
        <f>K118*L132</f>
        <v>50.289524999999998</v>
      </c>
      <c r="M118" s="34">
        <v>6.4999999999999997E-3</v>
      </c>
      <c r="N118" s="62">
        <f>M118*N132</f>
        <v>52.721499999999999</v>
      </c>
      <c r="O118" s="42"/>
      <c r="P118" s="34">
        <v>6.4999999999999997E-3</v>
      </c>
      <c r="Q118" s="62">
        <f>P118*Q132</f>
        <v>41.741569999999996</v>
      </c>
      <c r="R118" s="42"/>
      <c r="S118" s="34">
        <v>6.4999999999999997E-3</v>
      </c>
      <c r="T118" s="62">
        <f>S118*T132</f>
        <v>51.293904999999995</v>
      </c>
    </row>
    <row r="119" spans="1:20" x14ac:dyDescent="0.2">
      <c r="A119" s="42"/>
      <c r="B119" s="71"/>
      <c r="C119" s="409" t="s">
        <v>121</v>
      </c>
      <c r="D119" s="415"/>
      <c r="E119" s="34">
        <v>0.03</v>
      </c>
      <c r="F119" s="62">
        <f>E119*F132</f>
        <v>197.1831</v>
      </c>
      <c r="G119" s="34">
        <v>0.03</v>
      </c>
      <c r="H119" s="62">
        <f>G119*H132</f>
        <v>203.07660000000001</v>
      </c>
      <c r="I119" s="34">
        <v>0.03</v>
      </c>
      <c r="J119" s="62">
        <f>I119*J132</f>
        <v>219.69689999999997</v>
      </c>
      <c r="K119" s="34">
        <v>0.03</v>
      </c>
      <c r="L119" s="62">
        <f>K119*L132</f>
        <v>232.10550000000001</v>
      </c>
      <c r="M119" s="34">
        <v>0.03</v>
      </c>
      <c r="N119" s="62">
        <f>M119*N132</f>
        <v>243.32999999999998</v>
      </c>
      <c r="O119" s="42"/>
      <c r="P119" s="34">
        <v>0.03</v>
      </c>
      <c r="Q119" s="62">
        <f>P119*Q132</f>
        <v>192.65339999999998</v>
      </c>
      <c r="R119" s="42"/>
      <c r="S119" s="34">
        <v>0.03</v>
      </c>
      <c r="T119" s="62">
        <f>S119*T132</f>
        <v>236.74109999999999</v>
      </c>
    </row>
    <row r="120" spans="1:20" ht="13.5" thickBot="1" x14ac:dyDescent="0.25">
      <c r="A120" s="42"/>
      <c r="B120" s="71"/>
      <c r="C120" s="409" t="s">
        <v>122</v>
      </c>
      <c r="D120" s="415"/>
      <c r="E120" s="34">
        <v>0.05</v>
      </c>
      <c r="F120" s="62">
        <f>E120*F132</f>
        <v>328.63850000000002</v>
      </c>
      <c r="G120" s="34">
        <v>0.05</v>
      </c>
      <c r="H120" s="62">
        <f>ROUND(G120*H132,2)</f>
        <v>338.46</v>
      </c>
      <c r="I120" s="34">
        <v>0.05</v>
      </c>
      <c r="J120" s="52">
        <f>ROUND(I120*$N$132,2)</f>
        <v>405.55</v>
      </c>
      <c r="K120" s="34">
        <v>0.05</v>
      </c>
      <c r="L120" s="52">
        <f>ROUND(K120*$N$132,2)</f>
        <v>405.55</v>
      </c>
      <c r="M120" s="34">
        <v>0.05</v>
      </c>
      <c r="N120" s="52">
        <f>ROUND(M120*$N$132,2)</f>
        <v>405.55</v>
      </c>
      <c r="O120" s="42"/>
      <c r="P120" s="34">
        <v>0.05</v>
      </c>
      <c r="Q120" s="52">
        <f>ROUND(P120*$N$132,2)</f>
        <v>405.55</v>
      </c>
      <c r="R120" s="42"/>
      <c r="S120" s="34">
        <v>0.05</v>
      </c>
      <c r="T120" s="52">
        <f>ROUND(S120*$N$132,2)</f>
        <v>405.55</v>
      </c>
    </row>
    <row r="121" spans="1:20" ht="15.75" thickBot="1" x14ac:dyDescent="0.3">
      <c r="A121" s="42"/>
      <c r="B121" s="41"/>
      <c r="C121" s="438" t="s">
        <v>16</v>
      </c>
      <c r="D121" s="439"/>
      <c r="E121" s="440"/>
      <c r="F121" s="13">
        <f>ROUND(SUM(F115,F116,F117),2)</f>
        <v>642.29999999999995</v>
      </c>
      <c r="G121" s="41"/>
      <c r="H121" s="13">
        <f>ROUND(SUM(H115,H116,H117),2)</f>
        <v>661.5</v>
      </c>
      <c r="I121" s="41"/>
      <c r="J121" s="13">
        <f>ROUND(SUM(J115,J116,J117),2)</f>
        <v>755.03</v>
      </c>
      <c r="K121" s="41"/>
      <c r="L121" s="13">
        <f>ROUND(SUM(L115,L116,L117),2)</f>
        <v>774.77</v>
      </c>
      <c r="M121" s="41"/>
      <c r="N121" s="13">
        <f>ROUND(SUM(N115,N116,N117),2)</f>
        <v>792.62</v>
      </c>
      <c r="O121" s="42"/>
      <c r="P121" s="41"/>
      <c r="Q121" s="13">
        <f>ROUND(SUM(Q115,Q116,Q117),2)</f>
        <v>712.01</v>
      </c>
      <c r="R121" s="42"/>
      <c r="S121" s="41"/>
      <c r="T121" s="13">
        <f>ROUND(SUM(T115,T116,T117),2)</f>
        <v>782.14</v>
      </c>
    </row>
    <row r="122" spans="1:20" ht="13.5" thickBot="1" x14ac:dyDescent="0.25">
      <c r="A122" s="42"/>
      <c r="B122" s="458"/>
      <c r="C122" s="458"/>
      <c r="D122" s="458"/>
      <c r="E122" s="458"/>
      <c r="F122" s="458"/>
      <c r="G122" s="42"/>
      <c r="H122" s="42"/>
      <c r="I122" s="42"/>
      <c r="J122" s="42"/>
      <c r="K122" s="42"/>
      <c r="L122" s="42"/>
      <c r="M122" s="42"/>
      <c r="N122" s="42"/>
      <c r="O122" s="42"/>
      <c r="P122" s="42"/>
      <c r="Q122" s="42"/>
      <c r="R122" s="42"/>
      <c r="S122" s="42"/>
      <c r="T122" s="42"/>
    </row>
    <row r="123" spans="1:20" ht="15.75" thickBot="1" x14ac:dyDescent="0.3">
      <c r="A123" s="42"/>
      <c r="B123" s="369" t="s">
        <v>125</v>
      </c>
      <c r="C123" s="370"/>
      <c r="D123" s="370"/>
      <c r="E123" s="370"/>
      <c r="F123" s="370"/>
      <c r="G123" s="370"/>
      <c r="H123" s="370"/>
      <c r="I123" s="370"/>
      <c r="J123" s="370"/>
      <c r="K123" s="370"/>
      <c r="L123" s="370"/>
      <c r="M123" s="370"/>
      <c r="N123" s="371"/>
      <c r="O123" s="42"/>
      <c r="P123" s="42"/>
      <c r="Q123" s="42"/>
      <c r="R123" s="42"/>
      <c r="S123" s="42"/>
      <c r="T123" s="42"/>
    </row>
    <row r="124" spans="1:20" ht="15.75" customHeight="1" thickBot="1" x14ac:dyDescent="0.3">
      <c r="A124" s="42"/>
      <c r="B124" s="100"/>
      <c r="C124" s="456" t="s">
        <v>127</v>
      </c>
      <c r="D124" s="456"/>
      <c r="E124" s="457"/>
      <c r="F124" s="136" t="s">
        <v>35</v>
      </c>
      <c r="G124" s="3"/>
      <c r="H124" s="6" t="s">
        <v>35</v>
      </c>
      <c r="I124" s="3"/>
      <c r="J124" s="4" t="s">
        <v>35</v>
      </c>
      <c r="K124" s="3"/>
      <c r="L124" s="4" t="s">
        <v>35</v>
      </c>
      <c r="M124" s="3"/>
      <c r="N124" s="4" t="s">
        <v>35</v>
      </c>
      <c r="O124" s="42"/>
      <c r="P124" s="3"/>
      <c r="Q124" s="4" t="s">
        <v>35</v>
      </c>
      <c r="R124" s="42"/>
      <c r="S124" s="3"/>
      <c r="T124" s="4" t="s">
        <v>35</v>
      </c>
    </row>
    <row r="125" spans="1:20" x14ac:dyDescent="0.2">
      <c r="A125" s="42"/>
      <c r="B125" s="70" t="s">
        <v>1</v>
      </c>
      <c r="C125" s="70" t="s">
        <v>52</v>
      </c>
      <c r="D125" s="402" t="s">
        <v>57</v>
      </c>
      <c r="E125" s="402"/>
      <c r="F125" s="59">
        <f>$F$37</f>
        <v>3161.4</v>
      </c>
      <c r="G125" s="39"/>
      <c r="H125" s="46">
        <f>$H$37</f>
        <v>3256.25</v>
      </c>
      <c r="I125" s="39"/>
      <c r="J125" s="55">
        <f>J37</f>
        <v>3533.02</v>
      </c>
      <c r="K125" s="39"/>
      <c r="L125" s="55">
        <f>L37</f>
        <v>3739.69</v>
      </c>
      <c r="M125" s="39"/>
      <c r="N125" s="55">
        <f>N37</f>
        <v>3926.66</v>
      </c>
      <c r="O125" s="42"/>
      <c r="P125" s="39"/>
      <c r="Q125" s="55">
        <f>Q37</f>
        <v>3739.69</v>
      </c>
      <c r="R125" s="42"/>
      <c r="S125" s="39"/>
      <c r="T125" s="55">
        <f>T37</f>
        <v>0</v>
      </c>
    </row>
    <row r="126" spans="1:20" x14ac:dyDescent="0.2">
      <c r="A126" s="42"/>
      <c r="B126" s="71" t="s">
        <v>2</v>
      </c>
      <c r="C126" s="71" t="s">
        <v>53</v>
      </c>
      <c r="D126" s="379" t="s">
        <v>100</v>
      </c>
      <c r="E126" s="379"/>
      <c r="F126" s="62">
        <f>F71</f>
        <v>2585.4327490599999</v>
      </c>
      <c r="G126" s="39"/>
      <c r="H126" s="62">
        <f>H71</f>
        <v>2667.4992368749995</v>
      </c>
      <c r="I126" s="39"/>
      <c r="J126" s="52">
        <f>J71</f>
        <v>2879.2836290579999</v>
      </c>
      <c r="K126" s="39"/>
      <c r="L126" s="52">
        <f>L71</f>
        <v>3037.3680264509999</v>
      </c>
      <c r="M126" s="39"/>
      <c r="N126" s="52">
        <f>N71</f>
        <v>3180.3444912140003</v>
      </c>
      <c r="O126" s="42"/>
      <c r="P126" s="39"/>
      <c r="Q126" s="52">
        <f>Q71</f>
        <v>2003.6507700000002</v>
      </c>
      <c r="R126" s="42"/>
      <c r="S126" s="39"/>
      <c r="T126" s="52">
        <f>T71</f>
        <v>7083.6946399999997</v>
      </c>
    </row>
    <row r="127" spans="1:20" x14ac:dyDescent="0.2">
      <c r="A127" s="42"/>
      <c r="B127" s="71" t="s">
        <v>4</v>
      </c>
      <c r="C127" s="71" t="s">
        <v>54</v>
      </c>
      <c r="D127" s="379" t="s">
        <v>45</v>
      </c>
      <c r="E127" s="379"/>
      <c r="F127" s="62">
        <f>F81</f>
        <v>100.02941831666666</v>
      </c>
      <c r="G127" s="39"/>
      <c r="H127" s="62">
        <f>H81</f>
        <v>99.394055399305557</v>
      </c>
      <c r="I127" s="39"/>
      <c r="J127" s="52">
        <f>J81</f>
        <v>107.84220671227777</v>
      </c>
      <c r="K127" s="39"/>
      <c r="L127" s="52">
        <f>L81</f>
        <v>114.1506195888611</v>
      </c>
      <c r="M127" s="39"/>
      <c r="N127" s="52">
        <f>N81</f>
        <v>119.85770796905557</v>
      </c>
      <c r="O127" s="42"/>
      <c r="P127" s="39"/>
      <c r="Q127" s="52">
        <f>Q81</f>
        <v>0</v>
      </c>
      <c r="R127" s="42"/>
      <c r="S127" s="39"/>
      <c r="T127" s="52">
        <f>T81</f>
        <v>0</v>
      </c>
    </row>
    <row r="128" spans="1:20" x14ac:dyDescent="0.2">
      <c r="A128" s="42"/>
      <c r="B128" s="71" t="s">
        <v>5</v>
      </c>
      <c r="C128" s="71" t="s">
        <v>55</v>
      </c>
      <c r="D128" s="379" t="s">
        <v>47</v>
      </c>
      <c r="E128" s="379"/>
      <c r="F128" s="62">
        <f>F103</f>
        <v>32.709952000000001</v>
      </c>
      <c r="G128" s="39"/>
      <c r="H128" s="62">
        <f>H103</f>
        <v>33.691333333333333</v>
      </c>
      <c r="I128" s="39"/>
      <c r="J128" s="52">
        <f>J103</f>
        <v>36.554980266666654</v>
      </c>
      <c r="K128" s="39"/>
      <c r="L128" s="52">
        <f>L103</f>
        <v>38.693325866666662</v>
      </c>
      <c r="M128" s="39"/>
      <c r="N128" s="52">
        <f>N103</f>
        <v>40.627842133333324</v>
      </c>
      <c r="O128" s="42"/>
      <c r="P128" s="39"/>
      <c r="Q128" s="52">
        <f>Q103</f>
        <v>0</v>
      </c>
      <c r="R128" s="42"/>
      <c r="S128" s="39"/>
      <c r="T128" s="52">
        <f>T103</f>
        <v>36.517937999999994</v>
      </c>
    </row>
    <row r="129" spans="1:20" x14ac:dyDescent="0.2">
      <c r="A129" s="42"/>
      <c r="B129" s="71" t="s">
        <v>6</v>
      </c>
      <c r="C129" s="71" t="s">
        <v>56</v>
      </c>
      <c r="D129" s="379" t="s">
        <v>15</v>
      </c>
      <c r="E129" s="379"/>
      <c r="F129" s="62">
        <f>F111</f>
        <v>50.888974358974366</v>
      </c>
      <c r="G129" s="39"/>
      <c r="H129" s="62">
        <f>H111</f>
        <v>50.888974358974366</v>
      </c>
      <c r="I129" s="39"/>
      <c r="J129" s="52">
        <f>J111</f>
        <v>50.888974358974366</v>
      </c>
      <c r="K129" s="39"/>
      <c r="L129" s="52">
        <f>L111</f>
        <v>50.888974358974366</v>
      </c>
      <c r="M129" s="39"/>
      <c r="N129" s="52">
        <f>N111</f>
        <v>50.888974358974366</v>
      </c>
      <c r="O129" s="42"/>
      <c r="P129" s="39"/>
      <c r="Q129" s="52">
        <f>Q111</f>
        <v>50.888974358974366</v>
      </c>
      <c r="R129" s="42"/>
      <c r="S129" s="39"/>
      <c r="T129" s="52">
        <f>T111</f>
        <v>0</v>
      </c>
    </row>
    <row r="130" spans="1:20" x14ac:dyDescent="0.2">
      <c r="A130" s="42"/>
      <c r="B130" s="71"/>
      <c r="C130" s="459" t="s">
        <v>123</v>
      </c>
      <c r="D130" s="459"/>
      <c r="E130" s="459"/>
      <c r="F130" s="62">
        <f>SUM(F125:F129)</f>
        <v>5930.461093735642</v>
      </c>
      <c r="G130" s="39"/>
      <c r="H130" s="62">
        <f>SUM(H125:H129)</f>
        <v>6107.7235999666118</v>
      </c>
      <c r="I130" s="39"/>
      <c r="J130" s="52">
        <f>SUM(J125:J129)</f>
        <v>6607.5897903959185</v>
      </c>
      <c r="K130" s="39"/>
      <c r="L130" s="52">
        <f>SUM(L125:L129)</f>
        <v>6980.7909462655025</v>
      </c>
      <c r="M130" s="39"/>
      <c r="N130" s="52">
        <f>SUM(N125:N129)</f>
        <v>7318.3790156753639</v>
      </c>
      <c r="O130" s="42"/>
      <c r="P130" s="39"/>
      <c r="Q130" s="52">
        <f>SUM(Q125:Q129)</f>
        <v>5794.229744358975</v>
      </c>
      <c r="R130" s="42"/>
      <c r="S130" s="39"/>
      <c r="T130" s="52">
        <f>SUM(T125:T129)</f>
        <v>7120.2125779999997</v>
      </c>
    </row>
    <row r="131" spans="1:20" ht="13.5" thickBot="1" x14ac:dyDescent="0.25">
      <c r="A131" s="42"/>
      <c r="B131" s="80" t="s">
        <v>6</v>
      </c>
      <c r="C131" s="99" t="s">
        <v>128</v>
      </c>
      <c r="D131" s="383" t="s">
        <v>59</v>
      </c>
      <c r="E131" s="451"/>
      <c r="F131" s="63">
        <f>$F$121</f>
        <v>642.29999999999995</v>
      </c>
      <c r="G131" s="64"/>
      <c r="H131" s="48">
        <f>H121</f>
        <v>661.5</v>
      </c>
      <c r="I131" s="64"/>
      <c r="J131" s="48">
        <f>J121</f>
        <v>755.03</v>
      </c>
      <c r="K131" s="64"/>
      <c r="L131" s="48">
        <f>L121</f>
        <v>774.77</v>
      </c>
      <c r="M131" s="64"/>
      <c r="N131" s="48">
        <f>N121</f>
        <v>792.62</v>
      </c>
      <c r="O131" s="42"/>
      <c r="P131" s="64"/>
      <c r="Q131" s="48">
        <f>Q121</f>
        <v>712.01</v>
      </c>
      <c r="R131" s="42"/>
      <c r="S131" s="64"/>
      <c r="T131" s="48">
        <f>T121</f>
        <v>782.14</v>
      </c>
    </row>
    <row r="132" spans="1:20" ht="15.75" thickBot="1" x14ac:dyDescent="0.25">
      <c r="A132" s="42"/>
      <c r="B132" s="41"/>
      <c r="C132" s="449" t="s">
        <v>51</v>
      </c>
      <c r="D132" s="449"/>
      <c r="E132" s="449"/>
      <c r="F132" s="5">
        <f>ROUNDUP((F130+F115+F116)/(1-E117),2)</f>
        <v>6572.77</v>
      </c>
      <c r="G132" s="41"/>
      <c r="H132" s="13">
        <f>ROUND((H130+H115+H116)/(1-G117),2)</f>
        <v>6769.22</v>
      </c>
      <c r="I132" s="41"/>
      <c r="J132" s="5">
        <f>ROUND((J130+J115+J116)/(1-I117),2)</f>
        <v>7323.23</v>
      </c>
      <c r="K132" s="41"/>
      <c r="L132" s="5">
        <f>ROUND((L130+L115+L116)/(1-K117),2)</f>
        <v>7736.85</v>
      </c>
      <c r="M132" s="41"/>
      <c r="N132" s="5">
        <f>ROUND((N130+N115+N116)/(1-M117),2)</f>
        <v>8111</v>
      </c>
      <c r="O132" s="42"/>
      <c r="P132" s="41"/>
      <c r="Q132" s="5">
        <f>ROUND((Q130+Q115+Q116)/(1-P117),2)</f>
        <v>6421.78</v>
      </c>
      <c r="R132" s="42"/>
      <c r="S132" s="41"/>
      <c r="T132" s="5">
        <f>ROUND((T130+T115+T116)/(1-S117),2)</f>
        <v>7891.37</v>
      </c>
    </row>
    <row r="133" spans="1:20" x14ac:dyDescent="0.2">
      <c r="A133" s="42"/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  <c r="O133" s="42"/>
      <c r="P133" s="42"/>
      <c r="Q133" s="42"/>
      <c r="R133" s="42"/>
      <c r="S133" s="42"/>
      <c r="T133" s="42"/>
    </row>
    <row r="134" spans="1:20" x14ac:dyDescent="0.2">
      <c r="A134" s="42"/>
      <c r="B134" s="42"/>
      <c r="C134" s="42"/>
      <c r="D134" s="42"/>
      <c r="E134" s="42"/>
      <c r="F134" s="29"/>
      <c r="G134" s="42"/>
      <c r="H134" s="83"/>
      <c r="I134" s="42"/>
      <c r="J134" s="83">
        <v>7323.23</v>
      </c>
      <c r="K134" s="42"/>
      <c r="L134" s="83"/>
      <c r="M134" s="42"/>
      <c r="N134" s="83"/>
      <c r="O134" s="42"/>
      <c r="P134" s="42"/>
      <c r="Q134" s="83">
        <v>6080.83</v>
      </c>
      <c r="R134" s="42"/>
      <c r="S134" s="42"/>
      <c r="T134" s="83">
        <v>7100.27</v>
      </c>
    </row>
    <row r="135" spans="1:20" x14ac:dyDescent="0.2">
      <c r="A135" s="42"/>
      <c r="B135" s="42"/>
      <c r="C135" s="42"/>
      <c r="D135" s="42"/>
      <c r="E135" s="42"/>
      <c r="G135" s="42"/>
      <c r="H135" s="42"/>
      <c r="I135" s="42"/>
      <c r="J135" s="83"/>
      <c r="K135" s="42"/>
      <c r="L135" s="83"/>
      <c r="M135" s="42"/>
      <c r="N135" s="83"/>
      <c r="O135" s="42"/>
      <c r="P135" s="42"/>
      <c r="Q135" s="83"/>
      <c r="R135" s="42"/>
      <c r="S135" s="42"/>
      <c r="T135" s="83"/>
    </row>
    <row r="136" spans="1:20" x14ac:dyDescent="0.2">
      <c r="A136" s="42"/>
      <c r="B136" s="42"/>
      <c r="C136" s="42"/>
      <c r="D136" s="42"/>
      <c r="E136" s="42"/>
      <c r="F136" s="42"/>
      <c r="G136" s="42"/>
      <c r="H136" s="83"/>
      <c r="I136" s="42"/>
      <c r="J136" s="42"/>
      <c r="K136" s="42"/>
      <c r="L136" s="42"/>
      <c r="M136" s="42"/>
      <c r="N136" s="42"/>
      <c r="O136" s="42"/>
      <c r="P136" s="42"/>
      <c r="Q136" s="42"/>
      <c r="R136" s="42"/>
      <c r="S136" s="42"/>
      <c r="T136" s="42"/>
    </row>
    <row r="137" spans="1:20" x14ac:dyDescent="0.2">
      <c r="A137" s="42"/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  <c r="O137" s="42"/>
      <c r="P137" s="42"/>
      <c r="Q137" s="42"/>
      <c r="R137" s="42"/>
      <c r="S137" s="42"/>
      <c r="T137" s="42"/>
    </row>
    <row r="138" spans="1:20" x14ac:dyDescent="0.2">
      <c r="A138" s="42"/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  <c r="O138" s="42"/>
      <c r="P138" s="42"/>
      <c r="Q138" s="42"/>
      <c r="R138" s="42"/>
      <c r="S138" s="42"/>
      <c r="T138" s="42"/>
    </row>
    <row r="139" spans="1:20" x14ac:dyDescent="0.2">
      <c r="A139" s="42"/>
      <c r="B139" s="42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  <c r="O139" s="42"/>
      <c r="P139" s="42"/>
      <c r="Q139" s="42"/>
      <c r="R139" s="42"/>
      <c r="S139" s="42"/>
      <c r="T139" s="42"/>
    </row>
    <row r="140" spans="1:20" x14ac:dyDescent="0.2">
      <c r="A140" s="42"/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  <c r="O140" s="42"/>
      <c r="P140" s="42"/>
      <c r="Q140" s="42"/>
      <c r="R140" s="42"/>
      <c r="S140" s="42"/>
      <c r="T140" s="42"/>
    </row>
    <row r="141" spans="1:20" x14ac:dyDescent="0.2">
      <c r="A141" s="42"/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2"/>
      <c r="O141" s="42"/>
      <c r="P141" s="42"/>
      <c r="Q141" s="42"/>
      <c r="R141" s="42"/>
      <c r="S141" s="42"/>
      <c r="T141" s="42"/>
    </row>
    <row r="142" spans="1:20" x14ac:dyDescent="0.2">
      <c r="A142" s="42"/>
      <c r="B142" s="42"/>
      <c r="C142" s="42"/>
      <c r="D142" s="42"/>
      <c r="E142" s="42"/>
      <c r="F142" s="42" t="s">
        <v>60</v>
      </c>
      <c r="G142" s="42"/>
      <c r="H142" s="42"/>
      <c r="I142" s="42"/>
      <c r="J142" s="42"/>
      <c r="K142" s="42"/>
      <c r="L142" s="42"/>
      <c r="M142" s="42"/>
      <c r="N142" s="42"/>
      <c r="O142" s="42"/>
      <c r="P142" s="42"/>
      <c r="Q142" s="42"/>
      <c r="R142" s="42"/>
      <c r="S142" s="42"/>
      <c r="T142" s="42"/>
    </row>
    <row r="143" spans="1:20" x14ac:dyDescent="0.2">
      <c r="A143" s="42"/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  <c r="O143" s="42"/>
      <c r="P143" s="42"/>
      <c r="Q143" s="42"/>
      <c r="R143" s="42"/>
      <c r="S143" s="42"/>
      <c r="T143" s="42"/>
    </row>
    <row r="144" spans="1:20" x14ac:dyDescent="0.2">
      <c r="A144" s="42"/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  <c r="O144" s="42"/>
      <c r="P144" s="42"/>
      <c r="Q144" s="42"/>
      <c r="R144" s="42"/>
      <c r="S144" s="42"/>
      <c r="T144" s="42"/>
    </row>
    <row r="145" spans="1:20" x14ac:dyDescent="0.2">
      <c r="A145" s="42"/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  <c r="O145" s="42"/>
      <c r="P145" s="42"/>
      <c r="Q145" s="42"/>
      <c r="R145" s="42"/>
      <c r="S145" s="42"/>
      <c r="T145" s="42"/>
    </row>
    <row r="146" spans="1:20" x14ac:dyDescent="0.2">
      <c r="A146" s="42"/>
      <c r="B146" s="42"/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2"/>
      <c r="O146" s="42"/>
      <c r="P146" s="42"/>
      <c r="Q146" s="42"/>
      <c r="R146" s="42"/>
      <c r="S146" s="42"/>
      <c r="T146" s="42"/>
    </row>
    <row r="147" spans="1:20" x14ac:dyDescent="0.2">
      <c r="A147" s="42"/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2"/>
      <c r="O147" s="42"/>
      <c r="P147" s="42"/>
      <c r="Q147" s="42"/>
      <c r="R147" s="42"/>
      <c r="S147" s="42"/>
      <c r="T147" s="42"/>
    </row>
    <row r="148" spans="1:20" x14ac:dyDescent="0.2">
      <c r="A148" s="42"/>
      <c r="B148" s="42"/>
      <c r="C148" s="42"/>
      <c r="D148" s="42"/>
      <c r="E148" s="42"/>
      <c r="F148" s="42"/>
      <c r="G148" s="42"/>
      <c r="H148" s="42"/>
      <c r="I148" s="42"/>
      <c r="J148" s="42"/>
      <c r="K148" s="42"/>
      <c r="L148" s="42"/>
      <c r="M148" s="42"/>
      <c r="N148" s="42"/>
      <c r="O148" s="42"/>
      <c r="P148" s="42"/>
      <c r="Q148" s="42"/>
      <c r="R148" s="42"/>
      <c r="S148" s="42"/>
      <c r="T148" s="42"/>
    </row>
    <row r="149" spans="1:20" x14ac:dyDescent="0.2">
      <c r="A149" s="42"/>
      <c r="B149" s="42"/>
      <c r="C149" s="42"/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  <c r="O149" s="42"/>
      <c r="P149" s="42"/>
      <c r="Q149" s="42"/>
      <c r="R149" s="42"/>
      <c r="S149" s="42"/>
      <c r="T149" s="42"/>
    </row>
    <row r="150" spans="1:20" x14ac:dyDescent="0.2">
      <c r="A150" s="42"/>
      <c r="B150" s="42"/>
      <c r="C150" s="42"/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2"/>
      <c r="O150" s="42"/>
      <c r="P150" s="42"/>
      <c r="Q150" s="42"/>
      <c r="R150" s="42"/>
      <c r="S150" s="42"/>
      <c r="T150" s="42"/>
    </row>
    <row r="151" spans="1:20" x14ac:dyDescent="0.2">
      <c r="A151" s="42"/>
      <c r="B151" s="42"/>
      <c r="C151" s="42"/>
      <c r="D151" s="42"/>
      <c r="E151" s="42"/>
      <c r="F151" s="42"/>
      <c r="G151" s="42"/>
      <c r="H151" s="42"/>
      <c r="I151" s="42"/>
      <c r="J151" s="42"/>
      <c r="K151" s="42"/>
      <c r="L151" s="42"/>
      <c r="M151" s="42"/>
      <c r="N151" s="42"/>
      <c r="O151" s="42"/>
      <c r="P151" s="42"/>
      <c r="Q151" s="42"/>
      <c r="R151" s="42"/>
      <c r="S151" s="42"/>
      <c r="T151" s="42"/>
    </row>
    <row r="152" spans="1:20" x14ac:dyDescent="0.2">
      <c r="A152" s="42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42"/>
      <c r="Q152" s="42"/>
      <c r="R152" s="42"/>
      <c r="S152" s="42"/>
      <c r="T152" s="42"/>
    </row>
    <row r="153" spans="1:20" x14ac:dyDescent="0.2">
      <c r="A153" s="42"/>
      <c r="B153" s="42"/>
      <c r="C153" s="42"/>
      <c r="D153" s="42"/>
      <c r="E153" s="42"/>
      <c r="F153" s="42"/>
      <c r="G153" s="42"/>
      <c r="H153" s="42"/>
      <c r="I153" s="42"/>
      <c r="J153" s="42"/>
      <c r="K153" s="42"/>
      <c r="L153" s="42"/>
      <c r="M153" s="42"/>
      <c r="N153" s="42"/>
      <c r="O153" s="42"/>
      <c r="P153" s="42"/>
      <c r="Q153" s="42"/>
      <c r="R153" s="42"/>
      <c r="S153" s="42"/>
      <c r="T153" s="42"/>
    </row>
    <row r="154" spans="1:20" x14ac:dyDescent="0.2">
      <c r="A154" s="42"/>
      <c r="B154" s="42"/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2"/>
      <c r="O154" s="42"/>
      <c r="P154" s="42"/>
      <c r="Q154" s="42"/>
      <c r="R154" s="42"/>
      <c r="S154" s="42"/>
      <c r="T154" s="42"/>
    </row>
    <row r="155" spans="1:20" x14ac:dyDescent="0.2">
      <c r="A155" s="42"/>
      <c r="B155" s="42"/>
      <c r="C155" s="42"/>
      <c r="D155" s="42"/>
      <c r="E155" s="42"/>
      <c r="F155" s="42"/>
      <c r="G155" s="42"/>
      <c r="H155" s="42"/>
      <c r="I155" s="42"/>
      <c r="J155" s="42"/>
      <c r="K155" s="42"/>
      <c r="L155" s="42"/>
      <c r="M155" s="42"/>
      <c r="N155" s="42"/>
      <c r="O155" s="42"/>
      <c r="P155" s="42"/>
      <c r="Q155" s="42"/>
      <c r="R155" s="42"/>
      <c r="S155" s="42"/>
      <c r="T155" s="42"/>
    </row>
    <row r="156" spans="1:20" x14ac:dyDescent="0.2">
      <c r="A156" s="42"/>
      <c r="B156" s="42"/>
      <c r="C156" s="42"/>
      <c r="D156" s="42"/>
      <c r="E156" s="42"/>
      <c r="F156" s="42"/>
      <c r="G156" s="42"/>
      <c r="H156" s="42"/>
      <c r="I156" s="42"/>
      <c r="J156" s="42"/>
      <c r="K156" s="42"/>
      <c r="L156" s="42"/>
      <c r="M156" s="42"/>
      <c r="N156" s="42"/>
      <c r="O156" s="42"/>
      <c r="P156" s="42"/>
      <c r="Q156" s="42"/>
      <c r="R156" s="42"/>
      <c r="S156" s="42"/>
      <c r="T156" s="42"/>
    </row>
    <row r="157" spans="1:20" x14ac:dyDescent="0.2">
      <c r="A157" s="42"/>
      <c r="B157" s="42"/>
      <c r="C157" s="42"/>
      <c r="D157" s="42"/>
      <c r="E157" s="42"/>
      <c r="F157" s="42"/>
      <c r="G157" s="42"/>
      <c r="H157" s="42"/>
      <c r="I157" s="42"/>
      <c r="J157" s="42"/>
      <c r="K157" s="42"/>
      <c r="L157" s="42"/>
      <c r="M157" s="42"/>
      <c r="N157" s="42"/>
      <c r="O157" s="42"/>
      <c r="P157" s="42"/>
      <c r="Q157" s="42"/>
      <c r="R157" s="42"/>
      <c r="S157" s="42"/>
      <c r="T157" s="42"/>
    </row>
    <row r="158" spans="1:20" x14ac:dyDescent="0.2">
      <c r="A158" s="42"/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2"/>
      <c r="O158" s="42"/>
      <c r="P158" s="42"/>
      <c r="Q158" s="42"/>
      <c r="R158" s="42"/>
      <c r="S158" s="42"/>
      <c r="T158" s="42"/>
    </row>
    <row r="159" spans="1:20" x14ac:dyDescent="0.2">
      <c r="A159" s="42"/>
      <c r="B159" s="42"/>
      <c r="C159" s="42"/>
      <c r="D159" s="42"/>
      <c r="E159" s="42"/>
      <c r="F159" s="42"/>
      <c r="G159" s="42"/>
      <c r="H159" s="42"/>
      <c r="I159" s="42"/>
      <c r="J159" s="42"/>
      <c r="K159" s="42"/>
      <c r="L159" s="42"/>
      <c r="M159" s="42"/>
      <c r="N159" s="42"/>
      <c r="O159" s="42"/>
      <c r="P159" s="42"/>
      <c r="Q159" s="42"/>
      <c r="R159" s="42"/>
      <c r="S159" s="42"/>
      <c r="T159" s="42"/>
    </row>
    <row r="160" spans="1:20" x14ac:dyDescent="0.2">
      <c r="A160" s="42"/>
      <c r="B160" s="42"/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  <c r="O160" s="42"/>
      <c r="P160" s="42"/>
      <c r="Q160" s="42"/>
      <c r="R160" s="42"/>
      <c r="S160" s="42"/>
      <c r="T160" s="42"/>
    </row>
    <row r="161" spans="1:20" x14ac:dyDescent="0.2">
      <c r="A161" s="42"/>
      <c r="B161" s="42"/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42"/>
      <c r="N161" s="42"/>
      <c r="O161" s="42"/>
      <c r="P161" s="42"/>
      <c r="Q161" s="42"/>
      <c r="R161" s="42"/>
      <c r="S161" s="42"/>
      <c r="T161" s="42"/>
    </row>
    <row r="162" spans="1:20" x14ac:dyDescent="0.2">
      <c r="A162" s="42"/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  <c r="O162" s="42"/>
      <c r="P162" s="42"/>
      <c r="Q162" s="42"/>
      <c r="R162" s="42"/>
      <c r="S162" s="42"/>
      <c r="T162" s="42"/>
    </row>
    <row r="163" spans="1:20" x14ac:dyDescent="0.2">
      <c r="A163" s="42"/>
      <c r="B163" s="42"/>
      <c r="C163" s="42"/>
      <c r="D163" s="42"/>
      <c r="E163" s="42"/>
      <c r="F163" s="42"/>
      <c r="G163" s="42"/>
      <c r="H163" s="42"/>
      <c r="I163" s="42"/>
      <c r="J163" s="42"/>
      <c r="K163" s="42"/>
      <c r="L163" s="42"/>
      <c r="M163" s="42"/>
      <c r="N163" s="42"/>
      <c r="O163" s="42"/>
      <c r="P163" s="42"/>
      <c r="Q163" s="42"/>
      <c r="R163" s="42"/>
      <c r="S163" s="42"/>
      <c r="T163" s="42"/>
    </row>
    <row r="164" spans="1:20" x14ac:dyDescent="0.2">
      <c r="A164" s="42"/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  <c r="O164" s="42"/>
      <c r="P164" s="42"/>
      <c r="Q164" s="42"/>
      <c r="R164" s="42"/>
      <c r="S164" s="42"/>
      <c r="T164" s="42"/>
    </row>
    <row r="165" spans="1:20" x14ac:dyDescent="0.2">
      <c r="A165" s="42"/>
      <c r="B165" s="42"/>
      <c r="C165" s="42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2"/>
      <c r="O165" s="42"/>
      <c r="P165" s="42"/>
      <c r="Q165" s="42"/>
      <c r="R165" s="42"/>
      <c r="S165" s="42"/>
      <c r="T165" s="42"/>
    </row>
    <row r="166" spans="1:20" x14ac:dyDescent="0.2">
      <c r="A166" s="42"/>
      <c r="B166" s="42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  <c r="O166" s="42"/>
      <c r="P166" s="42"/>
      <c r="Q166" s="42"/>
      <c r="R166" s="42"/>
      <c r="S166" s="42"/>
      <c r="T166" s="42"/>
    </row>
    <row r="167" spans="1:20" x14ac:dyDescent="0.2">
      <c r="A167" s="42"/>
      <c r="B167" s="42"/>
      <c r="C167" s="42"/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2"/>
      <c r="O167" s="42"/>
      <c r="P167" s="42"/>
      <c r="Q167" s="42"/>
      <c r="R167" s="42"/>
      <c r="S167" s="42"/>
      <c r="T167" s="42"/>
    </row>
    <row r="168" spans="1:20" x14ac:dyDescent="0.2">
      <c r="A168" s="42"/>
      <c r="B168" s="42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42"/>
      <c r="Q168" s="42"/>
      <c r="R168" s="42"/>
      <c r="S168" s="42"/>
      <c r="T168" s="42"/>
    </row>
    <row r="169" spans="1:20" x14ac:dyDescent="0.2">
      <c r="A169" s="42"/>
      <c r="B169" s="42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  <c r="O169" s="42"/>
      <c r="P169" s="42"/>
      <c r="Q169" s="42"/>
      <c r="R169" s="42"/>
      <c r="S169" s="42"/>
      <c r="T169" s="42"/>
    </row>
    <row r="170" spans="1:20" x14ac:dyDescent="0.2">
      <c r="A170" s="42"/>
      <c r="B170" s="42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42"/>
      <c r="Q170" s="42"/>
      <c r="R170" s="42"/>
      <c r="S170" s="42"/>
      <c r="T170" s="42"/>
    </row>
    <row r="171" spans="1:20" x14ac:dyDescent="0.2">
      <c r="A171" s="42"/>
      <c r="B171" s="42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  <c r="P171" s="42"/>
      <c r="Q171" s="42"/>
      <c r="R171" s="42"/>
      <c r="S171" s="42"/>
      <c r="T171" s="42"/>
    </row>
    <row r="172" spans="1:20" x14ac:dyDescent="0.2">
      <c r="A172" s="42"/>
      <c r="B172" s="42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42"/>
      <c r="Q172" s="42"/>
      <c r="R172" s="42"/>
      <c r="S172" s="42"/>
      <c r="T172" s="42"/>
    </row>
    <row r="173" spans="1:20" x14ac:dyDescent="0.2">
      <c r="A173" s="42"/>
      <c r="B173" s="42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42"/>
      <c r="Q173" s="42"/>
      <c r="R173" s="42"/>
      <c r="S173" s="42"/>
      <c r="T173" s="42"/>
    </row>
    <row r="174" spans="1:20" x14ac:dyDescent="0.2">
      <c r="A174" s="42"/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42"/>
      <c r="Q174" s="42"/>
      <c r="R174" s="42"/>
      <c r="S174" s="42"/>
      <c r="T174" s="42"/>
    </row>
    <row r="175" spans="1:20" x14ac:dyDescent="0.2">
      <c r="A175" s="42"/>
      <c r="B175" s="42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  <c r="O175" s="42"/>
      <c r="P175" s="42"/>
      <c r="Q175" s="42"/>
      <c r="R175" s="42"/>
      <c r="S175" s="42"/>
      <c r="T175" s="42"/>
    </row>
    <row r="176" spans="1:20" x14ac:dyDescent="0.2">
      <c r="A176" s="42"/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42"/>
      <c r="Q176" s="42"/>
      <c r="R176" s="42"/>
      <c r="S176" s="42"/>
      <c r="T176" s="42"/>
    </row>
    <row r="177" spans="1:20" x14ac:dyDescent="0.2">
      <c r="A177" s="42"/>
      <c r="B177" s="42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42"/>
      <c r="Q177" s="42"/>
      <c r="R177" s="42"/>
      <c r="S177" s="42"/>
      <c r="T177" s="42"/>
    </row>
    <row r="178" spans="1:20" x14ac:dyDescent="0.2">
      <c r="A178" s="42"/>
      <c r="B178" s="42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42"/>
      <c r="Q178" s="42"/>
      <c r="R178" s="42"/>
      <c r="S178" s="42"/>
      <c r="T178" s="42"/>
    </row>
    <row r="179" spans="1:20" x14ac:dyDescent="0.2">
      <c r="A179" s="42"/>
      <c r="B179" s="42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  <c r="O179" s="42"/>
      <c r="P179" s="42"/>
      <c r="Q179" s="42"/>
      <c r="R179" s="42"/>
      <c r="S179" s="42"/>
      <c r="T179" s="42"/>
    </row>
    <row r="180" spans="1:20" x14ac:dyDescent="0.2">
      <c r="A180" s="42"/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42"/>
      <c r="Q180" s="42"/>
      <c r="R180" s="42"/>
      <c r="S180" s="42"/>
      <c r="T180" s="42"/>
    </row>
    <row r="181" spans="1:20" x14ac:dyDescent="0.2">
      <c r="A181" s="42"/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42"/>
      <c r="Q181" s="42"/>
      <c r="R181" s="42"/>
      <c r="S181" s="42"/>
      <c r="T181" s="42"/>
    </row>
    <row r="182" spans="1:20" x14ac:dyDescent="0.2">
      <c r="A182" s="42"/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42"/>
      <c r="Q182" s="42"/>
      <c r="R182" s="42"/>
      <c r="S182" s="42"/>
      <c r="T182" s="42"/>
    </row>
    <row r="183" spans="1:20" x14ac:dyDescent="0.2">
      <c r="A183" s="42"/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42"/>
      <c r="Q183" s="42"/>
      <c r="R183" s="42"/>
      <c r="S183" s="42"/>
      <c r="T183" s="42"/>
    </row>
    <row r="184" spans="1:20" x14ac:dyDescent="0.2">
      <c r="A184" s="42"/>
      <c r="B184" s="42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42"/>
      <c r="Q184" s="42"/>
      <c r="R184" s="42"/>
      <c r="S184" s="42"/>
      <c r="T184" s="42"/>
    </row>
    <row r="185" spans="1:20" x14ac:dyDescent="0.2">
      <c r="A185" s="42"/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42"/>
      <c r="Q185" s="42"/>
      <c r="R185" s="42"/>
      <c r="S185" s="42"/>
      <c r="T185" s="42"/>
    </row>
    <row r="186" spans="1:20" x14ac:dyDescent="0.2">
      <c r="A186" s="42"/>
      <c r="B186" s="42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42"/>
      <c r="Q186" s="42"/>
      <c r="R186" s="42"/>
      <c r="S186" s="42"/>
      <c r="T186" s="42"/>
    </row>
    <row r="187" spans="1:20" x14ac:dyDescent="0.2">
      <c r="A187" s="42"/>
      <c r="B187" s="42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42"/>
      <c r="Q187" s="42"/>
      <c r="R187" s="42"/>
      <c r="S187" s="42"/>
      <c r="T187" s="42"/>
    </row>
    <row r="188" spans="1:20" x14ac:dyDescent="0.2">
      <c r="A188" s="42"/>
      <c r="B188" s="42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42"/>
      <c r="Q188" s="42"/>
      <c r="R188" s="42"/>
      <c r="S188" s="42"/>
      <c r="T188" s="42"/>
    </row>
    <row r="189" spans="1:20" x14ac:dyDescent="0.2">
      <c r="A189" s="42"/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42"/>
      <c r="Q189" s="42"/>
      <c r="R189" s="42"/>
      <c r="S189" s="42"/>
      <c r="T189" s="42"/>
    </row>
    <row r="190" spans="1:20" x14ac:dyDescent="0.2">
      <c r="A190" s="42"/>
      <c r="B190" s="42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42"/>
      <c r="Q190" s="42"/>
      <c r="R190" s="42"/>
      <c r="S190" s="42"/>
      <c r="T190" s="42"/>
    </row>
    <row r="191" spans="1:20" x14ac:dyDescent="0.2">
      <c r="A191" s="42"/>
      <c r="B191" s="42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42"/>
      <c r="Q191" s="42"/>
      <c r="R191" s="42"/>
      <c r="S191" s="42"/>
      <c r="T191" s="42"/>
    </row>
    <row r="192" spans="1:20" x14ac:dyDescent="0.2">
      <c r="A192" s="42"/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42"/>
      <c r="Q192" s="42"/>
      <c r="R192" s="42"/>
      <c r="S192" s="42"/>
      <c r="T192" s="42"/>
    </row>
    <row r="193" spans="1:20" x14ac:dyDescent="0.2">
      <c r="A193" s="42"/>
      <c r="B193" s="42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42"/>
      <c r="Q193" s="42"/>
      <c r="R193" s="42"/>
      <c r="S193" s="42"/>
      <c r="T193" s="42"/>
    </row>
    <row r="194" spans="1:20" x14ac:dyDescent="0.2">
      <c r="A194" s="42"/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42"/>
      <c r="Q194" s="42"/>
      <c r="R194" s="42"/>
      <c r="S194" s="42"/>
      <c r="T194" s="42"/>
    </row>
    <row r="195" spans="1:20" x14ac:dyDescent="0.2">
      <c r="A195" s="42"/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42"/>
      <c r="Q195" s="42"/>
      <c r="R195" s="42"/>
      <c r="S195" s="42"/>
      <c r="T195" s="42"/>
    </row>
    <row r="196" spans="1:20" x14ac:dyDescent="0.2">
      <c r="A196" s="42"/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42"/>
      <c r="Q196" s="42"/>
      <c r="R196" s="42"/>
      <c r="S196" s="42"/>
      <c r="T196" s="42"/>
    </row>
    <row r="197" spans="1:20" x14ac:dyDescent="0.2">
      <c r="A197" s="42"/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42"/>
      <c r="Q197" s="42"/>
      <c r="R197" s="42"/>
      <c r="S197" s="42"/>
      <c r="T197" s="42"/>
    </row>
    <row r="198" spans="1:20" x14ac:dyDescent="0.2">
      <c r="A198" s="42"/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42"/>
      <c r="Q198" s="42"/>
      <c r="R198" s="42"/>
      <c r="S198" s="42"/>
      <c r="T198" s="42"/>
    </row>
    <row r="199" spans="1:20" x14ac:dyDescent="0.2">
      <c r="A199" s="42"/>
      <c r="B199" s="42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42"/>
      <c r="Q199" s="42"/>
      <c r="R199" s="42"/>
      <c r="S199" s="42"/>
      <c r="T199" s="42"/>
    </row>
    <row r="200" spans="1:20" x14ac:dyDescent="0.2">
      <c r="A200" s="42"/>
      <c r="B200" s="42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42"/>
      <c r="Q200" s="42"/>
      <c r="R200" s="42"/>
      <c r="S200" s="42"/>
      <c r="T200" s="42"/>
    </row>
    <row r="201" spans="1:20" x14ac:dyDescent="0.2">
      <c r="A201" s="42"/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42"/>
      <c r="Q201" s="42"/>
      <c r="R201" s="42"/>
      <c r="S201" s="42"/>
      <c r="T201" s="42"/>
    </row>
    <row r="202" spans="1:20" x14ac:dyDescent="0.2">
      <c r="A202" s="42"/>
      <c r="B202" s="42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42"/>
      <c r="Q202" s="42"/>
      <c r="R202" s="42"/>
      <c r="S202" s="42"/>
      <c r="T202" s="42"/>
    </row>
    <row r="203" spans="1:20" x14ac:dyDescent="0.2">
      <c r="A203" s="42"/>
      <c r="B203" s="42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42"/>
      <c r="Q203" s="42"/>
      <c r="R203" s="42"/>
      <c r="S203" s="42"/>
      <c r="T203" s="42"/>
    </row>
    <row r="204" spans="1:20" x14ac:dyDescent="0.2">
      <c r="A204" s="42"/>
      <c r="B204" s="42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42"/>
      <c r="Q204" s="42"/>
      <c r="R204" s="42"/>
      <c r="S204" s="42"/>
      <c r="T204" s="42"/>
    </row>
    <row r="205" spans="1:20" x14ac:dyDescent="0.2">
      <c r="A205" s="42"/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42"/>
      <c r="Q205" s="42"/>
      <c r="R205" s="42"/>
      <c r="S205" s="42"/>
      <c r="T205" s="42"/>
    </row>
    <row r="206" spans="1:20" x14ac:dyDescent="0.2">
      <c r="A206" s="42"/>
      <c r="B206" s="42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42"/>
      <c r="Q206" s="42"/>
      <c r="R206" s="42"/>
      <c r="S206" s="42"/>
      <c r="T206" s="42"/>
    </row>
    <row r="207" spans="1:20" x14ac:dyDescent="0.2">
      <c r="A207" s="42"/>
      <c r="B207" s="42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42"/>
      <c r="Q207" s="42"/>
      <c r="R207" s="42"/>
      <c r="S207" s="42"/>
      <c r="T207" s="42"/>
    </row>
    <row r="208" spans="1:20" x14ac:dyDescent="0.2">
      <c r="A208" s="42"/>
      <c r="B208" s="42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42"/>
      <c r="Q208" s="42"/>
      <c r="R208" s="42"/>
      <c r="S208" s="42"/>
      <c r="T208" s="42"/>
    </row>
    <row r="209" spans="1:20" x14ac:dyDescent="0.2">
      <c r="A209" s="42"/>
      <c r="B209" s="42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42"/>
      <c r="Q209" s="42"/>
      <c r="R209" s="42"/>
      <c r="S209" s="42"/>
      <c r="T209" s="42"/>
    </row>
    <row r="210" spans="1:20" x14ac:dyDescent="0.2">
      <c r="A210" s="42"/>
      <c r="B210" s="42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42"/>
      <c r="Q210" s="42"/>
      <c r="R210" s="42"/>
      <c r="S210" s="42"/>
      <c r="T210" s="42"/>
    </row>
    <row r="211" spans="1:20" x14ac:dyDescent="0.2">
      <c r="A211" s="42"/>
      <c r="B211" s="42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42"/>
      <c r="Q211" s="42"/>
      <c r="R211" s="42"/>
      <c r="S211" s="42"/>
      <c r="T211" s="42"/>
    </row>
    <row r="212" spans="1:20" x14ac:dyDescent="0.2">
      <c r="A212" s="42"/>
      <c r="B212" s="42"/>
      <c r="C212" s="42"/>
      <c r="D212" s="42"/>
      <c r="E212" s="42"/>
      <c r="F212" s="42"/>
      <c r="G212" s="42"/>
      <c r="H212" s="42"/>
      <c r="I212" s="42"/>
      <c r="J212" s="42"/>
      <c r="K212" s="42"/>
      <c r="L212" s="42"/>
      <c r="M212" s="42"/>
      <c r="N212" s="42"/>
      <c r="O212" s="42"/>
      <c r="P212" s="42"/>
      <c r="Q212" s="42"/>
      <c r="R212" s="42"/>
      <c r="S212" s="42"/>
      <c r="T212" s="42"/>
    </row>
    <row r="213" spans="1:20" x14ac:dyDescent="0.2">
      <c r="A213" s="42"/>
      <c r="B213" s="42"/>
      <c r="C213" s="42"/>
      <c r="D213" s="42"/>
      <c r="E213" s="42"/>
      <c r="F213" s="42"/>
      <c r="G213" s="42"/>
      <c r="H213" s="42"/>
      <c r="I213" s="42"/>
      <c r="J213" s="42"/>
      <c r="K213" s="42"/>
      <c r="L213" s="42"/>
      <c r="M213" s="42"/>
      <c r="N213" s="42"/>
      <c r="O213" s="42"/>
      <c r="P213" s="42"/>
      <c r="Q213" s="42"/>
      <c r="R213" s="42"/>
      <c r="S213" s="42"/>
      <c r="T213" s="42"/>
    </row>
    <row r="214" spans="1:20" x14ac:dyDescent="0.2">
      <c r="A214" s="42"/>
      <c r="B214" s="42"/>
      <c r="C214" s="42"/>
      <c r="D214" s="42"/>
      <c r="E214" s="42"/>
      <c r="F214" s="42"/>
      <c r="G214" s="42"/>
      <c r="H214" s="42"/>
      <c r="I214" s="42"/>
      <c r="J214" s="42"/>
      <c r="K214" s="42"/>
      <c r="L214" s="42"/>
      <c r="M214" s="42"/>
      <c r="N214" s="42"/>
      <c r="O214" s="42"/>
      <c r="P214" s="42"/>
      <c r="Q214" s="42"/>
      <c r="R214" s="42"/>
      <c r="S214" s="42"/>
      <c r="T214" s="42"/>
    </row>
    <row r="215" spans="1:20" x14ac:dyDescent="0.2">
      <c r="A215" s="42"/>
      <c r="B215" s="42"/>
      <c r="C215" s="42"/>
      <c r="D215" s="42"/>
      <c r="E215" s="42"/>
      <c r="F215" s="42"/>
      <c r="G215" s="42"/>
      <c r="H215" s="42"/>
      <c r="I215" s="42"/>
      <c r="J215" s="42"/>
      <c r="K215" s="42"/>
      <c r="L215" s="42"/>
      <c r="M215" s="42"/>
      <c r="N215" s="42"/>
      <c r="O215" s="42"/>
      <c r="P215" s="42"/>
      <c r="Q215" s="42"/>
      <c r="R215" s="42"/>
      <c r="S215" s="42"/>
      <c r="T215" s="42"/>
    </row>
    <row r="216" spans="1:20" x14ac:dyDescent="0.2">
      <c r="A216" s="42"/>
      <c r="B216" s="42"/>
      <c r="C216" s="42"/>
      <c r="D216" s="42"/>
      <c r="E216" s="42"/>
      <c r="F216" s="42"/>
      <c r="G216" s="42"/>
      <c r="H216" s="42"/>
      <c r="I216" s="42"/>
      <c r="J216" s="42"/>
      <c r="K216" s="42"/>
      <c r="L216" s="42"/>
      <c r="M216" s="42"/>
      <c r="N216" s="42"/>
      <c r="O216" s="42"/>
      <c r="P216" s="42"/>
      <c r="Q216" s="42"/>
      <c r="R216" s="42"/>
      <c r="S216" s="42"/>
      <c r="T216" s="42"/>
    </row>
    <row r="217" spans="1:20" x14ac:dyDescent="0.2">
      <c r="A217" s="42"/>
      <c r="B217" s="42"/>
      <c r="C217" s="42"/>
      <c r="D217" s="42"/>
      <c r="E217" s="42"/>
      <c r="F217" s="42"/>
      <c r="G217" s="42"/>
      <c r="H217" s="42"/>
      <c r="I217" s="42"/>
      <c r="J217" s="42"/>
      <c r="K217" s="42"/>
      <c r="L217" s="42"/>
      <c r="M217" s="42"/>
      <c r="N217" s="42"/>
      <c r="O217" s="42"/>
      <c r="P217" s="42"/>
      <c r="Q217" s="42"/>
      <c r="R217" s="42"/>
      <c r="S217" s="42"/>
      <c r="T217" s="42"/>
    </row>
    <row r="218" spans="1:20" x14ac:dyDescent="0.2">
      <c r="A218" s="42"/>
      <c r="B218" s="42"/>
      <c r="C218" s="42"/>
      <c r="D218" s="42"/>
      <c r="E218" s="42"/>
      <c r="F218" s="42"/>
      <c r="G218" s="42"/>
      <c r="H218" s="42"/>
      <c r="I218" s="42"/>
      <c r="J218" s="42"/>
      <c r="K218" s="42"/>
      <c r="L218" s="42"/>
      <c r="M218" s="42"/>
      <c r="N218" s="42"/>
      <c r="O218" s="42"/>
      <c r="P218" s="42"/>
      <c r="Q218" s="42"/>
      <c r="R218" s="42"/>
      <c r="S218" s="42"/>
      <c r="T218" s="42"/>
    </row>
    <row r="219" spans="1:20" x14ac:dyDescent="0.2">
      <c r="A219" s="42"/>
      <c r="B219" s="42"/>
      <c r="C219" s="42"/>
      <c r="D219" s="42"/>
      <c r="E219" s="42"/>
      <c r="F219" s="42"/>
      <c r="G219" s="42"/>
      <c r="H219" s="42"/>
      <c r="I219" s="42"/>
      <c r="J219" s="42"/>
      <c r="K219" s="42"/>
      <c r="L219" s="42"/>
      <c r="M219" s="42"/>
      <c r="N219" s="42"/>
      <c r="O219" s="42"/>
      <c r="P219" s="42"/>
      <c r="Q219" s="42"/>
      <c r="R219" s="42"/>
      <c r="S219" s="42"/>
      <c r="T219" s="42"/>
    </row>
    <row r="220" spans="1:20" x14ac:dyDescent="0.2">
      <c r="A220" s="42"/>
      <c r="B220" s="42"/>
      <c r="C220" s="42"/>
      <c r="D220" s="42"/>
      <c r="E220" s="42"/>
      <c r="F220" s="42"/>
      <c r="G220" s="42"/>
      <c r="H220" s="42"/>
      <c r="I220" s="42"/>
      <c r="J220" s="42"/>
      <c r="K220" s="42"/>
      <c r="L220" s="42"/>
      <c r="M220" s="42"/>
      <c r="N220" s="42"/>
      <c r="O220" s="42"/>
      <c r="P220" s="42"/>
      <c r="Q220" s="42"/>
      <c r="R220" s="42"/>
      <c r="S220" s="42"/>
      <c r="T220" s="42"/>
    </row>
    <row r="221" spans="1:20" x14ac:dyDescent="0.2">
      <c r="A221" s="42"/>
      <c r="B221" s="42"/>
      <c r="C221" s="42"/>
      <c r="D221" s="42"/>
      <c r="E221" s="42"/>
      <c r="F221" s="42"/>
      <c r="G221" s="42"/>
      <c r="H221" s="42"/>
      <c r="I221" s="42"/>
      <c r="J221" s="42"/>
      <c r="K221" s="42"/>
      <c r="L221" s="42"/>
      <c r="M221" s="42"/>
      <c r="N221" s="42"/>
      <c r="O221" s="42"/>
      <c r="P221" s="42"/>
      <c r="Q221" s="42"/>
      <c r="R221" s="42"/>
      <c r="S221" s="42"/>
      <c r="T221" s="42"/>
    </row>
    <row r="222" spans="1:20" x14ac:dyDescent="0.2">
      <c r="A222" s="42"/>
      <c r="B222" s="42"/>
      <c r="C222" s="42"/>
      <c r="D222" s="42"/>
      <c r="E222" s="42"/>
      <c r="F222" s="42"/>
      <c r="G222" s="42"/>
      <c r="H222" s="42"/>
      <c r="I222" s="42"/>
      <c r="J222" s="42"/>
      <c r="K222" s="42"/>
      <c r="L222" s="42"/>
      <c r="M222" s="42"/>
      <c r="N222" s="42"/>
      <c r="O222" s="42"/>
      <c r="P222" s="42"/>
      <c r="Q222" s="42"/>
      <c r="R222" s="42"/>
      <c r="S222" s="42"/>
      <c r="T222" s="42"/>
    </row>
    <row r="223" spans="1:20" x14ac:dyDescent="0.2">
      <c r="A223" s="42"/>
      <c r="B223" s="42"/>
      <c r="C223" s="42"/>
      <c r="D223" s="42"/>
      <c r="E223" s="42"/>
      <c r="F223" s="42"/>
      <c r="G223" s="42"/>
      <c r="H223" s="42"/>
      <c r="I223" s="42"/>
      <c r="J223" s="42"/>
      <c r="K223" s="42"/>
      <c r="L223" s="42"/>
      <c r="M223" s="42"/>
      <c r="N223" s="42"/>
      <c r="O223" s="42"/>
      <c r="P223" s="42"/>
      <c r="Q223" s="42"/>
      <c r="R223" s="42"/>
      <c r="S223" s="42"/>
      <c r="T223" s="42"/>
    </row>
    <row r="224" spans="1:20" x14ac:dyDescent="0.2">
      <c r="A224" s="42"/>
      <c r="B224" s="42"/>
      <c r="C224" s="42"/>
      <c r="D224" s="42"/>
      <c r="E224" s="42"/>
      <c r="F224" s="42"/>
      <c r="G224" s="42"/>
      <c r="H224" s="42"/>
      <c r="I224" s="42"/>
      <c r="J224" s="42"/>
      <c r="K224" s="42"/>
      <c r="L224" s="42"/>
      <c r="M224" s="42"/>
      <c r="N224" s="42"/>
      <c r="O224" s="42"/>
      <c r="P224" s="42"/>
      <c r="Q224" s="42"/>
      <c r="R224" s="42"/>
      <c r="S224" s="42"/>
      <c r="T224" s="42"/>
    </row>
    <row r="225" spans="1:20" x14ac:dyDescent="0.2">
      <c r="A225" s="42"/>
      <c r="B225" s="42"/>
      <c r="C225" s="42"/>
      <c r="D225" s="42"/>
      <c r="E225" s="42"/>
      <c r="F225" s="42"/>
      <c r="G225" s="42"/>
      <c r="H225" s="42"/>
      <c r="I225" s="42"/>
      <c r="J225" s="42"/>
      <c r="K225" s="42"/>
      <c r="L225" s="42"/>
      <c r="M225" s="42"/>
      <c r="N225" s="42"/>
      <c r="O225" s="42"/>
      <c r="P225" s="42"/>
      <c r="Q225" s="42"/>
      <c r="R225" s="42"/>
      <c r="S225" s="42"/>
      <c r="T225" s="42"/>
    </row>
    <row r="226" spans="1:20" x14ac:dyDescent="0.2">
      <c r="A226" s="42"/>
      <c r="B226" s="42"/>
      <c r="C226" s="42"/>
      <c r="D226" s="42"/>
      <c r="E226" s="42"/>
      <c r="F226" s="42"/>
      <c r="G226" s="42"/>
      <c r="H226" s="42"/>
      <c r="I226" s="42"/>
      <c r="J226" s="42"/>
      <c r="K226" s="42"/>
      <c r="L226" s="42"/>
      <c r="M226" s="42"/>
      <c r="N226" s="42"/>
      <c r="O226" s="42"/>
      <c r="P226" s="42"/>
      <c r="Q226" s="42"/>
      <c r="R226" s="42"/>
      <c r="S226" s="42"/>
      <c r="T226" s="42"/>
    </row>
    <row r="227" spans="1:20" x14ac:dyDescent="0.2">
      <c r="A227" s="42"/>
      <c r="B227" s="42"/>
      <c r="C227" s="42"/>
      <c r="D227" s="42"/>
      <c r="E227" s="42"/>
      <c r="F227" s="42"/>
      <c r="G227" s="42"/>
      <c r="H227" s="42"/>
      <c r="I227" s="42"/>
      <c r="J227" s="42"/>
      <c r="K227" s="42"/>
      <c r="L227" s="42"/>
      <c r="M227" s="42"/>
      <c r="N227" s="42"/>
      <c r="O227" s="42"/>
      <c r="P227" s="42"/>
      <c r="Q227" s="42"/>
      <c r="R227" s="42"/>
      <c r="S227" s="42"/>
      <c r="T227" s="42"/>
    </row>
    <row r="228" spans="1:20" x14ac:dyDescent="0.2">
      <c r="A228" s="42"/>
      <c r="B228" s="42"/>
      <c r="C228" s="42"/>
      <c r="D228" s="42"/>
      <c r="E228" s="42"/>
      <c r="F228" s="42"/>
      <c r="G228" s="42"/>
      <c r="H228" s="42"/>
      <c r="I228" s="42"/>
      <c r="J228" s="42"/>
      <c r="K228" s="42"/>
      <c r="L228" s="42"/>
      <c r="M228" s="42"/>
      <c r="N228" s="42"/>
      <c r="O228" s="42"/>
      <c r="P228" s="42"/>
      <c r="Q228" s="42"/>
      <c r="R228" s="42"/>
      <c r="S228" s="42"/>
      <c r="T228" s="42"/>
    </row>
    <row r="229" spans="1:20" x14ac:dyDescent="0.2">
      <c r="A229" s="42"/>
      <c r="B229" s="42"/>
      <c r="C229" s="42"/>
      <c r="D229" s="42"/>
      <c r="E229" s="42"/>
      <c r="F229" s="42"/>
      <c r="G229" s="42"/>
      <c r="H229" s="42"/>
      <c r="I229" s="42"/>
      <c r="J229" s="42"/>
      <c r="K229" s="42"/>
      <c r="L229" s="42"/>
      <c r="M229" s="42"/>
      <c r="N229" s="42"/>
      <c r="O229" s="42"/>
      <c r="P229" s="42"/>
      <c r="Q229" s="42"/>
      <c r="R229" s="42"/>
      <c r="S229" s="42"/>
      <c r="T229" s="42"/>
    </row>
    <row r="230" spans="1:20" x14ac:dyDescent="0.2">
      <c r="A230" s="42"/>
      <c r="B230" s="42"/>
      <c r="C230" s="42"/>
      <c r="D230" s="42"/>
      <c r="E230" s="42"/>
      <c r="F230" s="42"/>
      <c r="G230" s="42"/>
      <c r="H230" s="42"/>
      <c r="I230" s="42"/>
      <c r="J230" s="42"/>
      <c r="K230" s="42"/>
      <c r="L230" s="42"/>
      <c r="M230" s="42"/>
      <c r="N230" s="42"/>
      <c r="O230" s="42"/>
      <c r="P230" s="42"/>
      <c r="Q230" s="42"/>
      <c r="R230" s="42"/>
      <c r="S230" s="42"/>
      <c r="T230" s="42"/>
    </row>
    <row r="231" spans="1:20" x14ac:dyDescent="0.2">
      <c r="J231" s="42"/>
      <c r="L231" s="42"/>
      <c r="N231" s="42"/>
      <c r="O231" s="42"/>
      <c r="Q231" s="42"/>
      <c r="R231" s="42"/>
      <c r="T231" s="42"/>
    </row>
    <row r="232" spans="1:20" x14ac:dyDescent="0.2">
      <c r="O232" s="42"/>
      <c r="R232" s="42"/>
    </row>
  </sheetData>
  <mergeCells count="132">
    <mergeCell ref="B2:N2"/>
    <mergeCell ref="B3:N3"/>
    <mergeCell ref="B4:N4"/>
    <mergeCell ref="B5:N5"/>
    <mergeCell ref="B6:N6"/>
    <mergeCell ref="C7:E7"/>
    <mergeCell ref="F7:N7"/>
    <mergeCell ref="C8:E8"/>
    <mergeCell ref="F8:N8"/>
    <mergeCell ref="B10:N10"/>
    <mergeCell ref="C11:E11"/>
    <mergeCell ref="F11:N11"/>
    <mergeCell ref="C13:E13"/>
    <mergeCell ref="F13:N13"/>
    <mergeCell ref="C12:E12"/>
    <mergeCell ref="F12:N12"/>
    <mergeCell ref="C14:E14"/>
    <mergeCell ref="F14:N14"/>
    <mergeCell ref="C15:E15"/>
    <mergeCell ref="F15:N15"/>
    <mergeCell ref="B17:N17"/>
    <mergeCell ref="B18:C18"/>
    <mergeCell ref="E18:G18"/>
    <mergeCell ref="H18:N18"/>
    <mergeCell ref="B19:C19"/>
    <mergeCell ref="E19:G19"/>
    <mergeCell ref="H19:N19"/>
    <mergeCell ref="B20:N20"/>
    <mergeCell ref="B21:N22"/>
    <mergeCell ref="C23:E23"/>
    <mergeCell ref="F23:N23"/>
    <mergeCell ref="C24:E24"/>
    <mergeCell ref="F24:N24"/>
    <mergeCell ref="C25:E25"/>
    <mergeCell ref="F25:N25"/>
    <mergeCell ref="C26:E26"/>
    <mergeCell ref="F26:N26"/>
    <mergeCell ref="B28:N28"/>
    <mergeCell ref="C29:D29"/>
    <mergeCell ref="C30:D30"/>
    <mergeCell ref="C31:D31"/>
    <mergeCell ref="C32:D32"/>
    <mergeCell ref="C33:D33"/>
    <mergeCell ref="C34:D34"/>
    <mergeCell ref="C35:D35"/>
    <mergeCell ref="C36:D36"/>
    <mergeCell ref="C37:E37"/>
    <mergeCell ref="B39:N39"/>
    <mergeCell ref="B40:N40"/>
    <mergeCell ref="C41:E41"/>
    <mergeCell ref="C42:D42"/>
    <mergeCell ref="C43:D43"/>
    <mergeCell ref="B44:D44"/>
    <mergeCell ref="B46:N46"/>
    <mergeCell ref="C47:D47"/>
    <mergeCell ref="C48:D48"/>
    <mergeCell ref="C49:D49"/>
    <mergeCell ref="C50:D50"/>
    <mergeCell ref="C51:D51"/>
    <mergeCell ref="C52:D52"/>
    <mergeCell ref="C53:D53"/>
    <mergeCell ref="C54:D54"/>
    <mergeCell ref="C55:D55"/>
    <mergeCell ref="B56:D56"/>
    <mergeCell ref="B58:N58"/>
    <mergeCell ref="C59:D59"/>
    <mergeCell ref="C60:D60"/>
    <mergeCell ref="C61:D61"/>
    <mergeCell ref="C62:D62"/>
    <mergeCell ref="C63:D63"/>
    <mergeCell ref="B64:E64"/>
    <mergeCell ref="B66:N66"/>
    <mergeCell ref="C67:D67"/>
    <mergeCell ref="C68:D68"/>
    <mergeCell ref="C69:D69"/>
    <mergeCell ref="C70:D70"/>
    <mergeCell ref="B71:D71"/>
    <mergeCell ref="B73:N73"/>
    <mergeCell ref="C74:D74"/>
    <mergeCell ref="C75:D75"/>
    <mergeCell ref="C76:D76"/>
    <mergeCell ref="C77:D77"/>
    <mergeCell ref="C78:D78"/>
    <mergeCell ref="C79:D79"/>
    <mergeCell ref="C80:D80"/>
    <mergeCell ref="B81:D81"/>
    <mergeCell ref="B83:N83"/>
    <mergeCell ref="B84:N84"/>
    <mergeCell ref="C85:D85"/>
    <mergeCell ref="C86:D86"/>
    <mergeCell ref="C87:D87"/>
    <mergeCell ref="C88:D88"/>
    <mergeCell ref="C89:D89"/>
    <mergeCell ref="C90:D90"/>
    <mergeCell ref="C91:D91"/>
    <mergeCell ref="B92:D92"/>
    <mergeCell ref="B94:N94"/>
    <mergeCell ref="C95:D95"/>
    <mergeCell ref="C96:D96"/>
    <mergeCell ref="B97:E97"/>
    <mergeCell ref="B99:N99"/>
    <mergeCell ref="C100:D100"/>
    <mergeCell ref="C101:D101"/>
    <mergeCell ref="C102:D102"/>
    <mergeCell ref="B103:D103"/>
    <mergeCell ref="B105:N105"/>
    <mergeCell ref="C106:D106"/>
    <mergeCell ref="C107:D107"/>
    <mergeCell ref="C108:D108"/>
    <mergeCell ref="C109:D109"/>
    <mergeCell ref="C110:D110"/>
    <mergeCell ref="C111:E111"/>
    <mergeCell ref="B113:N113"/>
    <mergeCell ref="C114:D114"/>
    <mergeCell ref="C115:D115"/>
    <mergeCell ref="D127:E127"/>
    <mergeCell ref="C116:D116"/>
    <mergeCell ref="C117:D117"/>
    <mergeCell ref="C118:D118"/>
    <mergeCell ref="C119:D119"/>
    <mergeCell ref="C120:D120"/>
    <mergeCell ref="C121:E121"/>
    <mergeCell ref="D128:E128"/>
    <mergeCell ref="B122:F122"/>
    <mergeCell ref="D129:E129"/>
    <mergeCell ref="C130:E130"/>
    <mergeCell ref="D131:E131"/>
    <mergeCell ref="C132:E132"/>
    <mergeCell ref="B123:N123"/>
    <mergeCell ref="C124:E124"/>
    <mergeCell ref="D125:E125"/>
    <mergeCell ref="D126:E126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55" fitToHeight="0" orientation="portrait" r:id="rId1"/>
  <rowBreaks count="1" manualBreakCount="1">
    <brk id="71" min="1" max="9" man="1"/>
  </rowBreaks>
  <colBreaks count="1" manualBreakCount="1">
    <brk id="2" min="1" max="130" man="1"/>
  </col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9A8412-0C5F-46B9-AE01-ACDF2C2D1E33}">
  <sheetPr>
    <pageSetUpPr fitToPage="1"/>
  </sheetPr>
  <dimension ref="A1:Z232"/>
  <sheetViews>
    <sheetView view="pageBreakPreview" topLeftCell="E38" zoomScaleNormal="100" zoomScaleSheetLayoutView="100" workbookViewId="0">
      <selection activeCell="F11" sqref="F11:N15"/>
    </sheetView>
  </sheetViews>
  <sheetFormatPr defaultRowHeight="12.75" x14ac:dyDescent="0.2"/>
  <cols>
    <col min="1" max="1" width="2.42578125" style="68" customWidth="1"/>
    <col min="2" max="2" width="5.42578125" style="68" customWidth="1"/>
    <col min="3" max="3" width="10.140625" style="68" customWidth="1"/>
    <col min="4" max="4" width="40.42578125" style="68" customWidth="1"/>
    <col min="5" max="5" width="9.7109375" style="68" customWidth="1"/>
    <col min="6" max="6" width="16.140625" style="68" customWidth="1"/>
    <col min="7" max="7" width="9.7109375" style="68" customWidth="1"/>
    <col min="8" max="8" width="16.140625" style="68" customWidth="1"/>
    <col min="9" max="9" width="9.7109375" style="68" customWidth="1"/>
    <col min="10" max="10" width="16.140625" style="68" customWidth="1"/>
    <col min="11" max="11" width="9.7109375" style="68" customWidth="1"/>
    <col min="12" max="12" width="16.140625" style="68" customWidth="1"/>
    <col min="13" max="13" width="9.7109375" style="68" customWidth="1"/>
    <col min="14" max="14" width="16.140625" style="68" customWidth="1"/>
    <col min="15" max="15" width="9.140625" style="68"/>
    <col min="16" max="16" width="9.7109375" style="68" customWidth="1"/>
    <col min="17" max="17" width="16.140625" style="68" customWidth="1"/>
    <col min="18" max="18" width="9.140625" style="68"/>
    <col min="19" max="19" width="11.85546875" style="68" customWidth="1"/>
    <col min="20" max="20" width="16.140625" style="68" customWidth="1"/>
    <col min="21" max="21" width="9.140625" style="68"/>
    <col min="22" max="22" width="9.7109375" style="68" customWidth="1"/>
    <col min="23" max="23" width="17.140625" style="68" customWidth="1"/>
    <col min="24" max="24" width="9.140625" style="68"/>
    <col min="25" max="25" width="9.7109375" style="68" customWidth="1"/>
    <col min="26" max="26" width="17.140625" style="68" customWidth="1"/>
    <col min="27" max="16384" width="9.140625" style="68"/>
  </cols>
  <sheetData>
    <row r="1" spans="1:26" ht="13.5" thickBot="1" x14ac:dyDescent="0.25">
      <c r="A1" s="42"/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V1" s="42"/>
      <c r="W1" s="42"/>
      <c r="Y1" s="42"/>
      <c r="Z1" s="42"/>
    </row>
    <row r="2" spans="1:26" ht="15" x14ac:dyDescent="0.25">
      <c r="A2" s="42"/>
      <c r="B2" s="363" t="s">
        <v>17</v>
      </c>
      <c r="C2" s="364"/>
      <c r="D2" s="364"/>
      <c r="E2" s="364"/>
      <c r="F2" s="364"/>
      <c r="G2" s="364"/>
      <c r="H2" s="364"/>
      <c r="I2" s="364"/>
      <c r="J2" s="364"/>
      <c r="K2" s="364"/>
      <c r="L2" s="364"/>
      <c r="M2" s="364"/>
      <c r="N2" s="365"/>
      <c r="O2" s="42"/>
      <c r="P2" s="42"/>
      <c r="Q2" s="42"/>
      <c r="R2" s="42"/>
      <c r="S2" s="42"/>
      <c r="T2" s="42"/>
      <c r="V2" s="42"/>
      <c r="W2" s="42"/>
      <c r="Y2" s="42"/>
      <c r="Z2" s="42"/>
    </row>
    <row r="3" spans="1:26" ht="15" customHeight="1" x14ac:dyDescent="0.25">
      <c r="A3" s="42"/>
      <c r="B3" s="366" t="s">
        <v>70</v>
      </c>
      <c r="C3" s="367"/>
      <c r="D3" s="367"/>
      <c r="E3" s="367"/>
      <c r="F3" s="367"/>
      <c r="G3" s="367"/>
      <c r="H3" s="367"/>
      <c r="I3" s="367"/>
      <c r="J3" s="367"/>
      <c r="K3" s="367"/>
      <c r="L3" s="367"/>
      <c r="M3" s="367"/>
      <c r="N3" s="368"/>
      <c r="O3" s="42"/>
      <c r="P3" s="42"/>
      <c r="Q3" s="42"/>
      <c r="R3" s="42"/>
      <c r="S3" s="42"/>
      <c r="T3" s="42"/>
      <c r="V3" s="42"/>
      <c r="W3" s="42"/>
      <c r="Y3" s="42"/>
      <c r="Z3" s="42"/>
    </row>
    <row r="4" spans="1:26" ht="15" customHeight="1" x14ac:dyDescent="0.25">
      <c r="A4" s="42"/>
      <c r="B4" s="366" t="s">
        <v>19</v>
      </c>
      <c r="C4" s="367"/>
      <c r="D4" s="367"/>
      <c r="E4" s="367"/>
      <c r="F4" s="367"/>
      <c r="G4" s="367"/>
      <c r="H4" s="367"/>
      <c r="I4" s="367"/>
      <c r="J4" s="367"/>
      <c r="K4" s="367"/>
      <c r="L4" s="367"/>
      <c r="M4" s="367"/>
      <c r="N4" s="368"/>
      <c r="O4" s="42"/>
      <c r="P4" s="42"/>
      <c r="Q4" s="42"/>
      <c r="R4" s="42"/>
      <c r="S4" s="42"/>
      <c r="T4" s="42"/>
      <c r="V4" s="42"/>
      <c r="W4" s="42"/>
      <c r="Y4" s="42"/>
      <c r="Z4" s="42"/>
    </row>
    <row r="5" spans="1:26" ht="15.75" thickBot="1" x14ac:dyDescent="0.3">
      <c r="A5" s="42"/>
      <c r="B5" s="366" t="s">
        <v>126</v>
      </c>
      <c r="C5" s="367"/>
      <c r="D5" s="367"/>
      <c r="E5" s="367"/>
      <c r="F5" s="367"/>
      <c r="G5" s="367"/>
      <c r="H5" s="367"/>
      <c r="I5" s="367"/>
      <c r="J5" s="367"/>
      <c r="K5" s="367"/>
      <c r="L5" s="367"/>
      <c r="M5" s="367"/>
      <c r="N5" s="368"/>
      <c r="O5" s="42"/>
      <c r="P5" s="42"/>
      <c r="Q5" s="42"/>
      <c r="R5" s="42"/>
      <c r="S5" s="42"/>
      <c r="T5" s="42"/>
      <c r="V5" s="42"/>
      <c r="W5" s="42"/>
      <c r="Y5" s="42"/>
      <c r="Z5" s="42"/>
    </row>
    <row r="6" spans="1:26" ht="15.75" thickBot="1" x14ac:dyDescent="0.3">
      <c r="A6" s="42"/>
      <c r="B6" s="369" t="s">
        <v>32</v>
      </c>
      <c r="C6" s="370"/>
      <c r="D6" s="370"/>
      <c r="E6" s="370"/>
      <c r="F6" s="370"/>
      <c r="G6" s="370"/>
      <c r="H6" s="370"/>
      <c r="I6" s="370"/>
      <c r="J6" s="370"/>
      <c r="K6" s="370"/>
      <c r="L6" s="370"/>
      <c r="M6" s="370"/>
      <c r="N6" s="371"/>
      <c r="O6" s="42"/>
      <c r="P6" s="42"/>
      <c r="Q6" s="42"/>
      <c r="R6" s="42"/>
      <c r="S6" s="42"/>
      <c r="T6" s="42"/>
      <c r="V6" s="42"/>
      <c r="W6" s="42"/>
      <c r="Y6" s="42"/>
      <c r="Z6" s="42"/>
    </row>
    <row r="7" spans="1:26" ht="15.75" thickBot="1" x14ac:dyDescent="0.3">
      <c r="A7" s="42"/>
      <c r="B7" s="41"/>
      <c r="C7" s="372" t="s">
        <v>20</v>
      </c>
      <c r="D7" s="373"/>
      <c r="E7" s="374"/>
      <c r="F7" s="375" t="s">
        <v>221</v>
      </c>
      <c r="G7" s="376"/>
      <c r="H7" s="376"/>
      <c r="I7" s="376"/>
      <c r="J7" s="376"/>
      <c r="K7" s="376"/>
      <c r="L7" s="376"/>
      <c r="M7" s="376"/>
      <c r="N7" s="377"/>
      <c r="O7" s="42"/>
      <c r="P7" s="42"/>
      <c r="Q7" s="42"/>
      <c r="R7" s="42"/>
      <c r="S7" s="42"/>
      <c r="T7" s="42"/>
      <c r="V7" s="42"/>
      <c r="W7" s="42"/>
      <c r="Y7" s="42"/>
      <c r="Z7" s="42"/>
    </row>
    <row r="8" spans="1:26" ht="15.75" thickBot="1" x14ac:dyDescent="0.3">
      <c r="A8" s="42"/>
      <c r="B8" s="69"/>
      <c r="C8" s="395" t="s">
        <v>72</v>
      </c>
      <c r="D8" s="396"/>
      <c r="E8" s="397"/>
      <c r="F8" s="398" t="s">
        <v>222</v>
      </c>
      <c r="G8" s="399"/>
      <c r="H8" s="399"/>
      <c r="I8" s="399"/>
      <c r="J8" s="399"/>
      <c r="K8" s="399"/>
      <c r="L8" s="399"/>
      <c r="M8" s="399"/>
      <c r="N8" s="400"/>
      <c r="O8" s="42"/>
      <c r="P8" s="42"/>
      <c r="Q8" s="42"/>
      <c r="R8" s="42"/>
      <c r="S8" s="42"/>
      <c r="T8" s="42"/>
      <c r="V8" s="42"/>
      <c r="W8" s="42"/>
      <c r="Y8" s="42"/>
      <c r="Z8" s="42"/>
    </row>
    <row r="9" spans="1:26" ht="15" thickBot="1" x14ac:dyDescent="0.25">
      <c r="A9" s="42"/>
      <c r="B9" s="42"/>
      <c r="C9" s="1"/>
      <c r="D9" s="42"/>
      <c r="E9" s="42"/>
      <c r="F9" s="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V9" s="42"/>
      <c r="W9" s="42"/>
      <c r="Y9" s="42"/>
      <c r="Z9" s="42"/>
    </row>
    <row r="10" spans="1:26" ht="15.75" thickBot="1" x14ac:dyDescent="0.3">
      <c r="A10" s="42"/>
      <c r="B10" s="363" t="s">
        <v>33</v>
      </c>
      <c r="C10" s="364"/>
      <c r="D10" s="364"/>
      <c r="E10" s="364"/>
      <c r="F10" s="364"/>
      <c r="G10" s="364"/>
      <c r="H10" s="364"/>
      <c r="I10" s="364"/>
      <c r="J10" s="364"/>
      <c r="K10" s="364"/>
      <c r="L10" s="364"/>
      <c r="M10" s="364"/>
      <c r="N10" s="365"/>
      <c r="O10" s="42"/>
      <c r="P10" s="42"/>
      <c r="Q10" s="42"/>
      <c r="R10" s="42"/>
      <c r="S10" s="42"/>
      <c r="T10" s="42"/>
      <c r="V10" s="42"/>
      <c r="W10" s="42"/>
      <c r="Y10" s="42"/>
      <c r="Z10" s="42"/>
    </row>
    <row r="11" spans="1:26" x14ac:dyDescent="0.2">
      <c r="A11" s="42"/>
      <c r="B11" s="70" t="s">
        <v>1</v>
      </c>
      <c r="C11" s="401" t="s">
        <v>21</v>
      </c>
      <c r="D11" s="402"/>
      <c r="E11" s="402"/>
      <c r="F11" s="403">
        <v>43969</v>
      </c>
      <c r="G11" s="404"/>
      <c r="H11" s="404"/>
      <c r="I11" s="404"/>
      <c r="J11" s="404"/>
      <c r="K11" s="404"/>
      <c r="L11" s="404"/>
      <c r="M11" s="404"/>
      <c r="N11" s="405"/>
      <c r="O11" s="42"/>
      <c r="P11" s="42"/>
      <c r="Q11" s="42"/>
      <c r="R11" s="42"/>
      <c r="S11" s="42"/>
      <c r="T11" s="42"/>
      <c r="V11" s="42"/>
      <c r="W11" s="42"/>
      <c r="Y11" s="42"/>
      <c r="Z11" s="42"/>
    </row>
    <row r="12" spans="1:26" x14ac:dyDescent="0.2">
      <c r="A12" s="42"/>
      <c r="B12" s="197" t="s">
        <v>2</v>
      </c>
      <c r="C12" s="378" t="s">
        <v>241</v>
      </c>
      <c r="D12" s="379"/>
      <c r="E12" s="379"/>
      <c r="F12" s="380">
        <v>45450</v>
      </c>
      <c r="G12" s="407"/>
      <c r="H12" s="407"/>
      <c r="I12" s="407"/>
      <c r="J12" s="407"/>
      <c r="K12" s="407"/>
      <c r="L12" s="407"/>
      <c r="M12" s="407"/>
      <c r="N12" s="408"/>
      <c r="O12" s="42"/>
      <c r="P12" s="42"/>
      <c r="Q12" s="42"/>
      <c r="R12" s="42"/>
      <c r="S12" s="42"/>
      <c r="T12" s="42"/>
      <c r="V12" s="42"/>
      <c r="W12" s="42"/>
      <c r="Y12" s="42"/>
      <c r="Z12" s="42"/>
    </row>
    <row r="13" spans="1:26" x14ac:dyDescent="0.2">
      <c r="A13" s="42"/>
      <c r="B13" s="71" t="s">
        <v>4</v>
      </c>
      <c r="C13" s="378" t="s">
        <v>3</v>
      </c>
      <c r="D13" s="379"/>
      <c r="E13" s="379"/>
      <c r="F13" s="406" t="s">
        <v>75</v>
      </c>
      <c r="G13" s="407"/>
      <c r="H13" s="407"/>
      <c r="I13" s="407"/>
      <c r="J13" s="407"/>
      <c r="K13" s="407"/>
      <c r="L13" s="407"/>
      <c r="M13" s="407"/>
      <c r="N13" s="408"/>
      <c r="O13" s="42"/>
      <c r="P13" s="42"/>
      <c r="Q13" s="42"/>
      <c r="R13" s="42"/>
      <c r="S13" s="42"/>
      <c r="T13" s="42"/>
      <c r="V13" s="42"/>
      <c r="W13" s="42"/>
      <c r="Y13" s="42"/>
      <c r="Z13" s="42"/>
    </row>
    <row r="14" spans="1:26" x14ac:dyDescent="0.2">
      <c r="A14" s="42"/>
      <c r="B14" s="71" t="s">
        <v>5</v>
      </c>
      <c r="C14" s="378" t="s">
        <v>22</v>
      </c>
      <c r="D14" s="379"/>
      <c r="E14" s="379"/>
      <c r="F14" s="380" t="s">
        <v>294</v>
      </c>
      <c r="G14" s="381"/>
      <c r="H14" s="381"/>
      <c r="I14" s="381"/>
      <c r="J14" s="381"/>
      <c r="K14" s="381"/>
      <c r="L14" s="381"/>
      <c r="M14" s="381"/>
      <c r="N14" s="382"/>
      <c r="O14" s="42"/>
      <c r="P14" s="42"/>
      <c r="Q14" s="42"/>
      <c r="R14" s="42"/>
      <c r="S14" s="42"/>
      <c r="T14" s="42"/>
      <c r="V14" s="42"/>
      <c r="W14" s="42"/>
      <c r="Y14" s="42"/>
      <c r="Z14" s="42"/>
    </row>
    <row r="15" spans="1:26" ht="13.5" thickBot="1" x14ac:dyDescent="0.25">
      <c r="A15" s="42"/>
      <c r="B15" s="72" t="s">
        <v>6</v>
      </c>
      <c r="C15" s="383" t="s">
        <v>23</v>
      </c>
      <c r="D15" s="384"/>
      <c r="E15" s="384"/>
      <c r="F15" s="385">
        <v>12</v>
      </c>
      <c r="G15" s="386"/>
      <c r="H15" s="386"/>
      <c r="I15" s="386"/>
      <c r="J15" s="386"/>
      <c r="K15" s="386"/>
      <c r="L15" s="386"/>
      <c r="M15" s="386"/>
      <c r="N15" s="387"/>
      <c r="O15" s="42"/>
      <c r="P15" s="42"/>
      <c r="Q15" s="42"/>
      <c r="R15" s="42"/>
      <c r="S15" s="42"/>
      <c r="T15" s="42"/>
      <c r="V15" s="42"/>
      <c r="W15" s="42"/>
      <c r="Y15" s="42"/>
      <c r="Z15" s="42"/>
    </row>
    <row r="16" spans="1:26" x14ac:dyDescent="0.2">
      <c r="A16" s="42"/>
      <c r="B16" s="73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V16" s="42"/>
      <c r="W16" s="42"/>
      <c r="Y16" s="42"/>
      <c r="Z16" s="42"/>
    </row>
    <row r="17" spans="1:26" ht="15.75" thickBot="1" x14ac:dyDescent="0.3">
      <c r="A17" s="42"/>
      <c r="B17" s="367" t="s">
        <v>34</v>
      </c>
      <c r="C17" s="367"/>
      <c r="D17" s="367"/>
      <c r="E17" s="367"/>
      <c r="F17" s="367"/>
      <c r="G17" s="367"/>
      <c r="H17" s="367"/>
      <c r="I17" s="367"/>
      <c r="J17" s="367"/>
      <c r="K17" s="367"/>
      <c r="L17" s="367"/>
      <c r="M17" s="367"/>
      <c r="N17" s="367"/>
      <c r="O17" s="42"/>
      <c r="P17" s="42"/>
      <c r="Q17" s="42"/>
      <c r="R17" s="42"/>
      <c r="S17" s="42"/>
      <c r="T17" s="42"/>
      <c r="V17" s="42"/>
      <c r="W17" s="42"/>
      <c r="Y17" s="42"/>
      <c r="Z17" s="42"/>
    </row>
    <row r="18" spans="1:26" ht="13.5" thickBot="1" x14ac:dyDescent="0.25">
      <c r="A18" s="42"/>
      <c r="B18" s="388" t="s">
        <v>24</v>
      </c>
      <c r="C18" s="373"/>
      <c r="D18" s="15" t="s">
        <v>25</v>
      </c>
      <c r="E18" s="389" t="s">
        <v>26</v>
      </c>
      <c r="F18" s="390"/>
      <c r="G18" s="391"/>
      <c r="H18" s="392" t="s">
        <v>62</v>
      </c>
      <c r="I18" s="393"/>
      <c r="J18" s="393"/>
      <c r="K18" s="393"/>
      <c r="L18" s="393"/>
      <c r="M18" s="393"/>
      <c r="N18" s="394"/>
      <c r="O18" s="42"/>
      <c r="P18" s="42"/>
      <c r="Q18" s="42"/>
      <c r="R18" s="42"/>
      <c r="S18" s="42"/>
      <c r="T18" s="42"/>
      <c r="V18" s="42"/>
      <c r="W18" s="42"/>
      <c r="Y18" s="42"/>
      <c r="Z18" s="42"/>
    </row>
    <row r="19" spans="1:26" x14ac:dyDescent="0.2">
      <c r="A19" s="42"/>
      <c r="B19" s="422" t="s">
        <v>225</v>
      </c>
      <c r="C19" s="423"/>
      <c r="D19" s="140" t="s">
        <v>66</v>
      </c>
      <c r="E19" s="424">
        <v>8</v>
      </c>
      <c r="F19" s="424"/>
      <c r="G19" s="424"/>
      <c r="H19" s="425">
        <v>2</v>
      </c>
      <c r="I19" s="426"/>
      <c r="J19" s="426"/>
      <c r="K19" s="426"/>
      <c r="L19" s="426"/>
      <c r="M19" s="426"/>
      <c r="N19" s="427"/>
      <c r="O19" s="42"/>
      <c r="P19" s="42"/>
      <c r="Q19" s="42"/>
      <c r="R19" s="42"/>
      <c r="S19" s="42"/>
      <c r="T19" s="42"/>
      <c r="V19" s="42"/>
      <c r="W19" s="42"/>
      <c r="Y19" s="42"/>
      <c r="Z19" s="42"/>
    </row>
    <row r="20" spans="1:26" ht="13.5" thickBot="1" x14ac:dyDescent="0.25">
      <c r="A20" s="42"/>
      <c r="B20" s="383"/>
      <c r="C20" s="384"/>
      <c r="D20" s="384"/>
      <c r="E20" s="384"/>
      <c r="F20" s="384"/>
      <c r="G20" s="384"/>
      <c r="H20" s="384"/>
      <c r="I20" s="384"/>
      <c r="J20" s="384"/>
      <c r="K20" s="384"/>
      <c r="L20" s="384"/>
      <c r="M20" s="384"/>
      <c r="N20" s="451"/>
      <c r="O20" s="42"/>
      <c r="P20" s="42"/>
      <c r="Q20" s="42"/>
      <c r="R20" s="42"/>
      <c r="S20" s="42"/>
      <c r="T20" s="42"/>
      <c r="V20" s="42"/>
      <c r="W20" s="42"/>
      <c r="Y20" s="42"/>
      <c r="Z20" s="42"/>
    </row>
    <row r="21" spans="1:26" ht="12.75" customHeight="1" x14ac:dyDescent="0.2">
      <c r="A21" s="42"/>
      <c r="B21" s="431" t="s">
        <v>27</v>
      </c>
      <c r="C21" s="431"/>
      <c r="D21" s="431"/>
      <c r="E21" s="431"/>
      <c r="F21" s="431"/>
      <c r="G21" s="431"/>
      <c r="H21" s="431"/>
      <c r="I21" s="431"/>
      <c r="J21" s="431"/>
      <c r="K21" s="431"/>
      <c r="L21" s="431"/>
      <c r="M21" s="431"/>
      <c r="N21" s="431"/>
      <c r="O21" s="42"/>
      <c r="P21" s="42"/>
      <c r="Q21" s="42"/>
      <c r="R21" s="42"/>
      <c r="S21" s="42"/>
      <c r="T21" s="42"/>
      <c r="V21" s="42"/>
      <c r="W21" s="42"/>
      <c r="Y21" s="42"/>
      <c r="Z21" s="42"/>
    </row>
    <row r="22" spans="1:26" ht="13.5" customHeight="1" thickBot="1" x14ac:dyDescent="0.25">
      <c r="A22" s="42"/>
      <c r="B22" s="431"/>
      <c r="C22" s="431"/>
      <c r="D22" s="431"/>
      <c r="E22" s="431"/>
      <c r="F22" s="431"/>
      <c r="G22" s="431"/>
      <c r="H22" s="431"/>
      <c r="I22" s="431"/>
      <c r="J22" s="431"/>
      <c r="K22" s="431"/>
      <c r="L22" s="431"/>
      <c r="M22" s="431"/>
      <c r="N22" s="431"/>
      <c r="O22" s="42"/>
      <c r="P22" s="42"/>
      <c r="Q22" s="42"/>
      <c r="R22" s="42"/>
      <c r="S22" s="42"/>
      <c r="T22" s="42"/>
      <c r="V22" s="42"/>
      <c r="W22" s="42"/>
      <c r="Y22" s="42"/>
      <c r="Z22" s="42"/>
    </row>
    <row r="23" spans="1:26" x14ac:dyDescent="0.2">
      <c r="A23" s="42"/>
      <c r="B23" s="74">
        <v>1</v>
      </c>
      <c r="C23" s="432" t="s">
        <v>28</v>
      </c>
      <c r="D23" s="433"/>
      <c r="E23" s="434"/>
      <c r="F23" s="435" t="str">
        <f>B19</f>
        <v>Vigilante Noturno 12x36 Armado</v>
      </c>
      <c r="G23" s="436"/>
      <c r="H23" s="436"/>
      <c r="I23" s="436"/>
      <c r="J23" s="436"/>
      <c r="K23" s="436"/>
      <c r="L23" s="436"/>
      <c r="M23" s="436"/>
      <c r="N23" s="437"/>
      <c r="O23" s="42"/>
      <c r="P23" s="42"/>
      <c r="Q23" s="42"/>
      <c r="R23" s="42"/>
      <c r="S23" s="42"/>
      <c r="T23" s="42"/>
      <c r="V23" s="42"/>
      <c r="W23" s="42"/>
      <c r="Y23" s="42"/>
      <c r="Z23" s="42"/>
    </row>
    <row r="24" spans="1:26" x14ac:dyDescent="0.2">
      <c r="A24" s="42"/>
      <c r="B24" s="75">
        <v>2</v>
      </c>
      <c r="C24" s="409" t="s">
        <v>29</v>
      </c>
      <c r="D24" s="410"/>
      <c r="E24" s="411"/>
      <c r="F24" s="412">
        <v>2723.41</v>
      </c>
      <c r="G24" s="413"/>
      <c r="H24" s="413"/>
      <c r="I24" s="413"/>
      <c r="J24" s="413"/>
      <c r="K24" s="413"/>
      <c r="L24" s="413"/>
      <c r="M24" s="413"/>
      <c r="N24" s="414"/>
      <c r="O24" s="42"/>
      <c r="P24" s="42"/>
      <c r="Q24" s="42"/>
      <c r="R24" s="42"/>
      <c r="S24" s="42"/>
      <c r="T24" s="42"/>
      <c r="V24" s="42"/>
      <c r="W24" s="42"/>
      <c r="Y24" s="42"/>
      <c r="Z24" s="42"/>
    </row>
    <row r="25" spans="1:26" x14ac:dyDescent="0.2">
      <c r="A25" s="42"/>
      <c r="B25" s="75">
        <v>3</v>
      </c>
      <c r="C25" s="409" t="s">
        <v>30</v>
      </c>
      <c r="D25" s="410"/>
      <c r="E25" s="411"/>
      <c r="F25" s="409"/>
      <c r="G25" s="410"/>
      <c r="H25" s="410"/>
      <c r="I25" s="410"/>
      <c r="J25" s="410"/>
      <c r="K25" s="410"/>
      <c r="L25" s="410"/>
      <c r="M25" s="410"/>
      <c r="N25" s="415"/>
      <c r="O25" s="42"/>
      <c r="P25" s="42"/>
      <c r="Q25" s="42"/>
      <c r="R25" s="42"/>
      <c r="S25" s="42"/>
      <c r="T25" s="42"/>
      <c r="V25" s="42"/>
      <c r="W25" s="42"/>
      <c r="Y25" s="42"/>
      <c r="Z25" s="42"/>
    </row>
    <row r="26" spans="1:26" ht="13.5" thickBot="1" x14ac:dyDescent="0.25">
      <c r="A26" s="42"/>
      <c r="B26" s="76">
        <v>4</v>
      </c>
      <c r="C26" s="416" t="s">
        <v>9</v>
      </c>
      <c r="D26" s="417"/>
      <c r="E26" s="418"/>
      <c r="F26" s="419" t="s">
        <v>293</v>
      </c>
      <c r="G26" s="420"/>
      <c r="H26" s="420"/>
      <c r="I26" s="420"/>
      <c r="J26" s="420"/>
      <c r="K26" s="420"/>
      <c r="L26" s="420"/>
      <c r="M26" s="420"/>
      <c r="N26" s="421"/>
      <c r="O26" s="42"/>
      <c r="P26" s="42"/>
      <c r="Q26" s="42"/>
      <c r="R26" s="42"/>
      <c r="S26" s="42"/>
      <c r="T26" s="42"/>
      <c r="V26" s="42"/>
      <c r="W26" s="42"/>
      <c r="Y26" s="42"/>
      <c r="Z26" s="42"/>
    </row>
    <row r="27" spans="1:26" ht="13.5" thickBot="1" x14ac:dyDescent="0.25">
      <c r="A27" s="42"/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V27" s="42"/>
      <c r="W27" s="42"/>
      <c r="Y27" s="42"/>
      <c r="Z27" s="42"/>
    </row>
    <row r="28" spans="1:26" ht="15.75" thickBot="1" x14ac:dyDescent="0.3">
      <c r="A28" s="42"/>
      <c r="B28" s="369" t="s">
        <v>82</v>
      </c>
      <c r="C28" s="370"/>
      <c r="D28" s="370"/>
      <c r="E28" s="370"/>
      <c r="F28" s="370"/>
      <c r="G28" s="370"/>
      <c r="H28" s="370"/>
      <c r="I28" s="370"/>
      <c r="J28" s="370"/>
      <c r="K28" s="370"/>
      <c r="L28" s="370"/>
      <c r="M28" s="370"/>
      <c r="N28" s="371"/>
      <c r="O28" s="42"/>
      <c r="P28" s="42"/>
      <c r="Q28" s="42"/>
      <c r="R28" s="42"/>
      <c r="S28" s="42"/>
      <c r="T28" s="42"/>
      <c r="V28" s="42"/>
      <c r="W28" s="42"/>
      <c r="Y28" s="42"/>
      <c r="Z28" s="42"/>
    </row>
    <row r="29" spans="1:26" ht="28.5" customHeight="1" thickBot="1" x14ac:dyDescent="0.3">
      <c r="A29" s="42"/>
      <c r="B29" s="65">
        <v>1</v>
      </c>
      <c r="C29" s="441" t="s">
        <v>57</v>
      </c>
      <c r="D29" s="442"/>
      <c r="E29" s="86"/>
      <c r="F29" s="66" t="s">
        <v>245</v>
      </c>
      <c r="G29" s="86"/>
      <c r="H29" s="202" t="s">
        <v>243</v>
      </c>
      <c r="I29" s="86"/>
      <c r="J29" s="202" t="s">
        <v>242</v>
      </c>
      <c r="K29" s="86"/>
      <c r="L29" s="202" t="s">
        <v>270</v>
      </c>
      <c r="M29" s="86"/>
      <c r="N29" s="202" t="s">
        <v>292</v>
      </c>
      <c r="O29" s="42"/>
      <c r="P29" s="86"/>
      <c r="Q29" s="202" t="s">
        <v>271</v>
      </c>
      <c r="R29" s="42"/>
      <c r="S29" s="203"/>
      <c r="T29" s="204" t="s">
        <v>283</v>
      </c>
      <c r="V29" s="86"/>
      <c r="W29" s="262" t="s">
        <v>272</v>
      </c>
      <c r="Y29" s="203"/>
      <c r="Z29" s="301" t="s">
        <v>284</v>
      </c>
    </row>
    <row r="30" spans="1:26" x14ac:dyDescent="0.2">
      <c r="A30" s="42"/>
      <c r="B30" s="74" t="s">
        <v>1</v>
      </c>
      <c r="C30" s="443" t="s">
        <v>31</v>
      </c>
      <c r="D30" s="444"/>
      <c r="E30" s="77"/>
      <c r="F30" s="78">
        <v>2192.65</v>
      </c>
      <c r="G30" s="32"/>
      <c r="H30" s="33">
        <v>2258.4299999999998</v>
      </c>
      <c r="I30" s="32"/>
      <c r="J30" s="33">
        <v>2450.39</v>
      </c>
      <c r="K30" s="32"/>
      <c r="L30" s="33">
        <v>2593.73</v>
      </c>
      <c r="M30" s="32"/>
      <c r="N30" s="309">
        <f>F24</f>
        <v>2723.41</v>
      </c>
      <c r="O30" s="42"/>
      <c r="P30" s="32"/>
      <c r="Q30" s="33">
        <v>2593.73</v>
      </c>
      <c r="R30" s="42"/>
      <c r="S30" s="205"/>
      <c r="T30" s="206">
        <v>2593.73</v>
      </c>
      <c r="V30" s="32"/>
      <c r="W30" s="33">
        <v>0</v>
      </c>
      <c r="Y30" s="205"/>
      <c r="Z30" s="206">
        <v>0</v>
      </c>
    </row>
    <row r="31" spans="1:26" x14ac:dyDescent="0.2">
      <c r="A31" s="42"/>
      <c r="B31" s="75" t="s">
        <v>2</v>
      </c>
      <c r="C31" s="409" t="s">
        <v>73</v>
      </c>
      <c r="D31" s="411"/>
      <c r="E31" s="51">
        <v>0.3</v>
      </c>
      <c r="F31" s="35">
        <f>F30*E31</f>
        <v>657.79499999999996</v>
      </c>
      <c r="G31" s="34">
        <v>0.3</v>
      </c>
      <c r="H31" s="35">
        <f>H30*G31</f>
        <v>677.52899999999988</v>
      </c>
      <c r="I31" s="36">
        <v>0.3</v>
      </c>
      <c r="J31" s="37">
        <f>J30*I31</f>
        <v>735.11699999999996</v>
      </c>
      <c r="K31" s="36">
        <v>0.3</v>
      </c>
      <c r="L31" s="37">
        <f>L30*K31</f>
        <v>778.11900000000003</v>
      </c>
      <c r="M31" s="36">
        <v>0.3</v>
      </c>
      <c r="N31" s="37">
        <f>N30*M31</f>
        <v>817.02299999999991</v>
      </c>
      <c r="O31" s="42"/>
      <c r="P31" s="36">
        <v>0.3</v>
      </c>
      <c r="Q31" s="37">
        <f>Q30*P31</f>
        <v>778.11900000000003</v>
      </c>
      <c r="R31" s="42"/>
      <c r="S31" s="207">
        <v>0.3</v>
      </c>
      <c r="T31" s="208">
        <f>T30*S31</f>
        <v>778.11900000000003</v>
      </c>
      <c r="V31" s="36">
        <v>0.3</v>
      </c>
      <c r="W31" s="37">
        <f>W30*V31</f>
        <v>0</v>
      </c>
      <c r="Y31" s="207">
        <v>0.3</v>
      </c>
      <c r="Z31" s="208">
        <f>Z30*Y31</f>
        <v>0</v>
      </c>
    </row>
    <row r="32" spans="1:26" x14ac:dyDescent="0.2">
      <c r="A32" s="42"/>
      <c r="B32" s="75" t="s">
        <v>4</v>
      </c>
      <c r="C32" s="409" t="s">
        <v>74</v>
      </c>
      <c r="D32" s="411"/>
      <c r="E32" s="51"/>
      <c r="F32" s="35"/>
      <c r="G32" s="34"/>
      <c r="H32" s="35"/>
      <c r="I32" s="36"/>
      <c r="J32" s="38"/>
      <c r="K32" s="36"/>
      <c r="L32" s="38"/>
      <c r="M32" s="36"/>
      <c r="N32" s="38"/>
      <c r="O32" s="42"/>
      <c r="P32" s="36"/>
      <c r="Q32" s="38"/>
      <c r="R32" s="42"/>
      <c r="S32" s="207"/>
      <c r="T32" s="209"/>
      <c r="V32" s="36"/>
      <c r="W32" s="38"/>
      <c r="Y32" s="207"/>
      <c r="Z32" s="209"/>
    </row>
    <row r="33" spans="1:26" x14ac:dyDescent="0.2">
      <c r="A33" s="42"/>
      <c r="B33" s="75" t="s">
        <v>5</v>
      </c>
      <c r="C33" s="409" t="s">
        <v>10</v>
      </c>
      <c r="D33" s="411"/>
      <c r="E33" s="188">
        <v>0.2</v>
      </c>
      <c r="F33" s="35">
        <f>(F30+F31)/220*E33*7*15</f>
        <v>272.08793181818186</v>
      </c>
      <c r="G33" s="188">
        <v>0.2</v>
      </c>
      <c r="H33" s="35">
        <f>(H30+H31)/220*G33*7*15</f>
        <v>280.25063181818183</v>
      </c>
      <c r="I33" s="188">
        <v>0.2</v>
      </c>
      <c r="J33" s="37">
        <f>(J30+J31)/220*I33*7*15</f>
        <v>304.07112272727272</v>
      </c>
      <c r="K33" s="188">
        <v>0.2</v>
      </c>
      <c r="L33" s="37">
        <f>(L30+L31)/220*K33*7*15</f>
        <v>321.85831363636368</v>
      </c>
      <c r="M33" s="188">
        <v>0.2</v>
      </c>
      <c r="N33" s="37">
        <f>(N30+N31)/220*M33*7*15</f>
        <v>337.95042272727272</v>
      </c>
      <c r="O33" s="42"/>
      <c r="P33" s="188">
        <v>0.2</v>
      </c>
      <c r="Q33" s="37">
        <f>(Q30+Q31)/220*P33*7*15</f>
        <v>321.85831363636368</v>
      </c>
      <c r="R33" s="42"/>
      <c r="S33" s="300">
        <v>0.2</v>
      </c>
      <c r="T33" s="208">
        <f>(T30+T31)/220*S33*7*15</f>
        <v>321.85831363636368</v>
      </c>
      <c r="V33" s="188">
        <v>0.2</v>
      </c>
      <c r="W33" s="37">
        <f>(W30+W31)/220*V33*7*15</f>
        <v>0</v>
      </c>
      <c r="Y33" s="300">
        <v>0.2</v>
      </c>
      <c r="Z33" s="208">
        <f>(Z30+Z31)/220*Y33*7*15</f>
        <v>0</v>
      </c>
    </row>
    <row r="34" spans="1:26" x14ac:dyDescent="0.2">
      <c r="A34" s="42"/>
      <c r="B34" s="75" t="s">
        <v>6</v>
      </c>
      <c r="C34" s="409" t="s">
        <v>80</v>
      </c>
      <c r="D34" s="411"/>
      <c r="E34" s="188">
        <v>0.2</v>
      </c>
      <c r="F34" s="35">
        <f>(F30+F31)/220*E33*1*15</f>
        <v>38.869704545454553</v>
      </c>
      <c r="G34" s="188">
        <v>0.2</v>
      </c>
      <c r="H34" s="35">
        <f>(H30+H31)/220*G33*1*15</f>
        <v>40.035804545454546</v>
      </c>
      <c r="I34" s="188">
        <v>0.2</v>
      </c>
      <c r="J34" s="37">
        <f>(J30+J31)/220*I33*1*15</f>
        <v>43.438731818181815</v>
      </c>
      <c r="K34" s="188">
        <v>0.2</v>
      </c>
      <c r="L34" s="37">
        <f>(L30+L31)/220*K33*1*15</f>
        <v>45.979759090909099</v>
      </c>
      <c r="M34" s="188">
        <v>0.2</v>
      </c>
      <c r="N34" s="37">
        <f>(N30+N31)/220*M33*1*15</f>
        <v>48.278631818181822</v>
      </c>
      <c r="O34" s="42"/>
      <c r="P34" s="188">
        <v>0.2</v>
      </c>
      <c r="Q34" s="37">
        <f>(Q30+Q31)/220*P33*1*15</f>
        <v>45.979759090909099</v>
      </c>
      <c r="R34" s="42"/>
      <c r="S34" s="300">
        <v>0.2</v>
      </c>
      <c r="T34" s="208">
        <f>(T30+T31)/220*S33*1*15</f>
        <v>45.979759090909099</v>
      </c>
      <c r="V34" s="188">
        <v>0.2</v>
      </c>
      <c r="W34" s="37">
        <f>(W30+W31)/220*V33*1*15</f>
        <v>0</v>
      </c>
      <c r="Y34" s="300">
        <v>0.2</v>
      </c>
      <c r="Z34" s="208">
        <f>(Z30+Z31)/220*Y33*1*15</f>
        <v>0</v>
      </c>
    </row>
    <row r="35" spans="1:26" x14ac:dyDescent="0.2">
      <c r="A35" s="42"/>
      <c r="B35" s="75" t="s">
        <v>7</v>
      </c>
      <c r="C35" s="409" t="s">
        <v>81</v>
      </c>
      <c r="D35" s="411"/>
      <c r="E35" s="35"/>
      <c r="F35" s="35"/>
      <c r="G35" s="37"/>
      <c r="H35" s="37"/>
      <c r="I35" s="39"/>
      <c r="J35" s="38"/>
      <c r="K35" s="39"/>
      <c r="L35" s="38"/>
      <c r="M35" s="39"/>
      <c r="N35" s="38"/>
      <c r="O35" s="42"/>
      <c r="P35" s="39"/>
      <c r="Q35" s="38"/>
      <c r="R35" s="42"/>
      <c r="S35" s="210"/>
      <c r="T35" s="209"/>
      <c r="V35" s="39"/>
      <c r="W35" s="38"/>
      <c r="Y35" s="210"/>
      <c r="Z35" s="209"/>
    </row>
    <row r="36" spans="1:26" ht="13.5" thickBot="1" x14ac:dyDescent="0.25">
      <c r="A36" s="42"/>
      <c r="B36" s="76" t="s">
        <v>12</v>
      </c>
      <c r="C36" s="416" t="s">
        <v>11</v>
      </c>
      <c r="D36" s="418"/>
      <c r="E36" s="40"/>
      <c r="F36" s="40"/>
      <c r="G36" s="40"/>
      <c r="H36" s="40"/>
      <c r="I36" s="40"/>
      <c r="J36" s="45"/>
      <c r="K36" s="40"/>
      <c r="L36" s="45"/>
      <c r="M36" s="40"/>
      <c r="N36" s="45"/>
      <c r="O36" s="42"/>
      <c r="P36" s="40"/>
      <c r="Q36" s="45"/>
      <c r="R36" s="42"/>
      <c r="S36" s="211"/>
      <c r="T36" s="212"/>
      <c r="V36" s="40"/>
      <c r="W36" s="45"/>
      <c r="Y36" s="211"/>
      <c r="Z36" s="212"/>
    </row>
    <row r="37" spans="1:26" ht="15.75" thickBot="1" x14ac:dyDescent="0.3">
      <c r="A37" s="42"/>
      <c r="B37" s="41"/>
      <c r="C37" s="438" t="s">
        <v>40</v>
      </c>
      <c r="D37" s="439"/>
      <c r="E37" s="440"/>
      <c r="F37" s="13">
        <f>ROUND(SUM(F30:F36),2)</f>
        <v>3161.4</v>
      </c>
      <c r="G37" s="41"/>
      <c r="H37" s="13">
        <f>ROUND(SUM(H30:H36),2)</f>
        <v>3256.25</v>
      </c>
      <c r="I37" s="41"/>
      <c r="J37" s="5">
        <f>ROUND(SUM(J30:J36),2)</f>
        <v>3533.02</v>
      </c>
      <c r="K37" s="41"/>
      <c r="L37" s="5">
        <f>ROUND(SUM(L30:L36),2)</f>
        <v>3739.69</v>
      </c>
      <c r="M37" s="41"/>
      <c r="N37" s="5">
        <f>ROUND(SUM(N30:N36),2)</f>
        <v>3926.66</v>
      </c>
      <c r="O37" s="42"/>
      <c r="P37" s="41"/>
      <c r="Q37" s="5">
        <f>ROUND(SUM(Q30:Q36),2)</f>
        <v>3739.69</v>
      </c>
      <c r="R37" s="42"/>
      <c r="S37" s="213"/>
      <c r="T37" s="214">
        <f>ROUND(SUM(T30:T36),2)</f>
        <v>3739.69</v>
      </c>
      <c r="V37" s="41"/>
      <c r="W37" s="5">
        <f>ROUND(SUM(W30:W36),2)</f>
        <v>0</v>
      </c>
      <c r="Y37" s="213"/>
      <c r="Z37" s="214">
        <f>ROUND(SUM(Z30:Z36),2)</f>
        <v>0</v>
      </c>
    </row>
    <row r="38" spans="1:26" ht="13.5" thickBot="1" x14ac:dyDescent="0.25">
      <c r="A38" s="42"/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198"/>
      <c r="T38" s="198"/>
      <c r="V38" s="42"/>
      <c r="W38" s="42"/>
      <c r="Y38" s="198"/>
      <c r="Z38" s="198"/>
    </row>
    <row r="39" spans="1:26" ht="15.75" thickBot="1" x14ac:dyDescent="0.3">
      <c r="A39" s="42"/>
      <c r="B39" s="369" t="s">
        <v>83</v>
      </c>
      <c r="C39" s="370"/>
      <c r="D39" s="370"/>
      <c r="E39" s="370"/>
      <c r="F39" s="370"/>
      <c r="G39" s="370"/>
      <c r="H39" s="370"/>
      <c r="I39" s="370"/>
      <c r="J39" s="370"/>
      <c r="K39" s="370"/>
      <c r="L39" s="370"/>
      <c r="M39" s="370"/>
      <c r="N39" s="371"/>
      <c r="O39" s="42"/>
      <c r="P39" s="42"/>
      <c r="Q39" s="42"/>
      <c r="R39" s="42"/>
      <c r="S39" s="198"/>
      <c r="T39" s="198"/>
      <c r="V39" s="42"/>
      <c r="W39" s="42"/>
      <c r="Y39" s="198"/>
      <c r="Z39" s="198"/>
    </row>
    <row r="40" spans="1:26" ht="15.75" thickBot="1" x14ac:dyDescent="0.3">
      <c r="A40" s="42"/>
      <c r="B40" s="369" t="s">
        <v>85</v>
      </c>
      <c r="C40" s="370"/>
      <c r="D40" s="370"/>
      <c r="E40" s="370"/>
      <c r="F40" s="370"/>
      <c r="G40" s="370"/>
      <c r="H40" s="370"/>
      <c r="I40" s="370"/>
      <c r="J40" s="370"/>
      <c r="K40" s="370"/>
      <c r="L40" s="370"/>
      <c r="M40" s="370"/>
      <c r="N40" s="371"/>
      <c r="O40" s="42"/>
      <c r="P40" s="42"/>
      <c r="Q40" s="42"/>
      <c r="R40" s="42"/>
      <c r="S40" s="198"/>
      <c r="T40" s="198"/>
      <c r="V40" s="42"/>
      <c r="W40" s="42"/>
      <c r="Y40" s="198"/>
      <c r="Z40" s="198"/>
    </row>
    <row r="41" spans="1:26" ht="15.75" thickBot="1" x14ac:dyDescent="0.3">
      <c r="A41" s="42"/>
      <c r="B41" s="94" t="s">
        <v>84</v>
      </c>
      <c r="C41" s="441" t="s">
        <v>86</v>
      </c>
      <c r="D41" s="442"/>
      <c r="E41" s="447"/>
      <c r="F41" s="66" t="s">
        <v>77</v>
      </c>
      <c r="G41" s="86"/>
      <c r="H41" s="66" t="s">
        <v>78</v>
      </c>
      <c r="I41" s="86"/>
      <c r="J41" s="66" t="s">
        <v>79</v>
      </c>
      <c r="K41" s="86"/>
      <c r="L41" s="66" t="s">
        <v>79</v>
      </c>
      <c r="M41" s="86"/>
      <c r="N41" s="66" t="s">
        <v>79</v>
      </c>
      <c r="O41" s="42"/>
      <c r="P41" s="86"/>
      <c r="Q41" s="66" t="s">
        <v>79</v>
      </c>
      <c r="R41" s="42"/>
      <c r="S41" s="203"/>
      <c r="T41" s="215" t="s">
        <v>79</v>
      </c>
      <c r="V41" s="86"/>
      <c r="W41" s="66" t="s">
        <v>79</v>
      </c>
      <c r="Y41" s="203"/>
      <c r="Z41" s="215" t="s">
        <v>79</v>
      </c>
    </row>
    <row r="42" spans="1:26" x14ac:dyDescent="0.2">
      <c r="A42" s="42"/>
      <c r="B42" s="70" t="s">
        <v>1</v>
      </c>
      <c r="C42" s="432" t="s">
        <v>87</v>
      </c>
      <c r="D42" s="445"/>
      <c r="E42" s="88">
        <f>ROUND(1/12,4)</f>
        <v>8.3299999999999999E-2</v>
      </c>
      <c r="F42" s="43">
        <f>E42*F37</f>
        <v>263.34462000000002</v>
      </c>
      <c r="G42" s="88">
        <f>ROUND(1/12,4)</f>
        <v>8.3299999999999999E-2</v>
      </c>
      <c r="H42" s="43">
        <f>G42*H37</f>
        <v>271.24562500000002</v>
      </c>
      <c r="I42" s="88">
        <f>ROUND(1/12,4)</f>
        <v>8.3299999999999999E-2</v>
      </c>
      <c r="J42" s="44">
        <f>I42*J37</f>
        <v>294.300566</v>
      </c>
      <c r="K42" s="88">
        <f>ROUND(1/12,4)</f>
        <v>8.3299999999999999E-2</v>
      </c>
      <c r="L42" s="44">
        <f>K42*L37</f>
        <v>311.51617700000003</v>
      </c>
      <c r="M42" s="88">
        <f>ROUND(1/12,4)</f>
        <v>8.3299999999999999E-2</v>
      </c>
      <c r="N42" s="44">
        <f>M42*N37</f>
        <v>327.090778</v>
      </c>
      <c r="O42" s="42"/>
      <c r="P42" s="88">
        <v>0</v>
      </c>
      <c r="Q42" s="44">
        <f>P42*Q37</f>
        <v>0</v>
      </c>
      <c r="R42" s="42"/>
      <c r="S42" s="216">
        <v>0</v>
      </c>
      <c r="T42" s="217">
        <f>S42*T37</f>
        <v>0</v>
      </c>
      <c r="V42" s="88">
        <v>0</v>
      </c>
      <c r="W42" s="44">
        <f>V42*W37</f>
        <v>0</v>
      </c>
      <c r="Y42" s="216">
        <v>0</v>
      </c>
      <c r="Z42" s="217">
        <f>Y42*Z37</f>
        <v>0</v>
      </c>
    </row>
    <row r="43" spans="1:26" ht="13.5" thickBot="1" x14ac:dyDescent="0.25">
      <c r="A43" s="42"/>
      <c r="B43" s="71" t="s">
        <v>2</v>
      </c>
      <c r="C43" s="409" t="s">
        <v>88</v>
      </c>
      <c r="D43" s="415"/>
      <c r="E43" s="89">
        <f>ROUND(1/11+1/11*1/3,3)</f>
        <v>0.121</v>
      </c>
      <c r="F43" s="35">
        <f>E43*F37</f>
        <v>382.52940000000001</v>
      </c>
      <c r="G43" s="89">
        <f>ROUND(1/11+1/11*1/3,3)</f>
        <v>0.121</v>
      </c>
      <c r="H43" s="35">
        <f>G43*H37</f>
        <v>394.00624999999997</v>
      </c>
      <c r="I43" s="89">
        <f>ROUND(1/11+1/11*1/3,3)</f>
        <v>0.121</v>
      </c>
      <c r="J43" s="35">
        <f>I43*J37</f>
        <v>427.49541999999997</v>
      </c>
      <c r="K43" s="89">
        <f>ROUND(1/11+1/11*1/3,3)</f>
        <v>0.121</v>
      </c>
      <c r="L43" s="35">
        <f>K43*L37</f>
        <v>452.50248999999997</v>
      </c>
      <c r="M43" s="89">
        <f>ROUND(1/11+1/11*1/3,3)</f>
        <v>0.121</v>
      </c>
      <c r="N43" s="35">
        <f>M43*N37</f>
        <v>475.12585999999999</v>
      </c>
      <c r="O43" s="42"/>
      <c r="P43" s="89">
        <v>0</v>
      </c>
      <c r="Q43" s="35">
        <f>P43*Q37</f>
        <v>0</v>
      </c>
      <c r="R43" s="42"/>
      <c r="S43" s="218">
        <v>0</v>
      </c>
      <c r="T43" s="219">
        <f>S43*T37</f>
        <v>0</v>
      </c>
      <c r="V43" s="89">
        <f>ROUND(1/11+1/11*1/3,3)</f>
        <v>0.121</v>
      </c>
      <c r="W43" s="35">
        <f>N37+N37/3</f>
        <v>5235.5466666666662</v>
      </c>
      <c r="Y43" s="218">
        <f>ROUND(1/11+1/11*1/3,3)</f>
        <v>0.121</v>
      </c>
      <c r="Z43" s="219">
        <f>(J37+J37/3)</f>
        <v>4710.6933333333336</v>
      </c>
    </row>
    <row r="44" spans="1:26" ht="13.5" customHeight="1" thickBot="1" x14ac:dyDescent="0.25">
      <c r="A44" s="42"/>
      <c r="B44" s="448" t="s">
        <v>16</v>
      </c>
      <c r="C44" s="449"/>
      <c r="D44" s="450"/>
      <c r="E44" s="90">
        <f>E42+E43</f>
        <v>0.20429999999999998</v>
      </c>
      <c r="F44" s="11">
        <f>SUM(F42:F43)</f>
        <v>645.87401999999997</v>
      </c>
      <c r="G44" s="90">
        <f>G42+G43</f>
        <v>0.20429999999999998</v>
      </c>
      <c r="H44" s="11">
        <f>SUM(H42:H43)</f>
        <v>665.25187499999993</v>
      </c>
      <c r="I44" s="90">
        <f>I42+I43</f>
        <v>0.20429999999999998</v>
      </c>
      <c r="J44" s="11">
        <f>SUM(J42:J43)</f>
        <v>721.79598599999997</v>
      </c>
      <c r="K44" s="90">
        <f>K42+K43</f>
        <v>0.20429999999999998</v>
      </c>
      <c r="L44" s="11">
        <f>SUM(L42:L43)</f>
        <v>764.01866700000005</v>
      </c>
      <c r="M44" s="90">
        <f>M42+M43</f>
        <v>0.20429999999999998</v>
      </c>
      <c r="N44" s="11">
        <f>SUM(N42:N43)</f>
        <v>802.21663799999999</v>
      </c>
      <c r="O44" s="42"/>
      <c r="P44" s="90">
        <f>P42+P43</f>
        <v>0</v>
      </c>
      <c r="Q44" s="11">
        <f>SUM(Q42:Q43)</f>
        <v>0</v>
      </c>
      <c r="R44" s="42"/>
      <c r="S44" s="220">
        <f>S42+S43</f>
        <v>0</v>
      </c>
      <c r="T44" s="221">
        <f>SUM(T42:T43)</f>
        <v>0</v>
      </c>
      <c r="V44" s="90">
        <f>V42+V43</f>
        <v>0.121</v>
      </c>
      <c r="W44" s="11">
        <f>SUM(W42:W43)</f>
        <v>5235.5466666666662</v>
      </c>
      <c r="Y44" s="220">
        <f>Y42+Y43</f>
        <v>0.121</v>
      </c>
      <c r="Z44" s="221">
        <f>SUM(Z42:Z43)</f>
        <v>4710.6933333333336</v>
      </c>
    </row>
    <row r="45" spans="1:26" ht="13.5" thickBot="1" x14ac:dyDescent="0.25">
      <c r="A45" s="42"/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198"/>
      <c r="T45" s="198"/>
      <c r="V45" s="42"/>
      <c r="W45" s="42"/>
      <c r="Y45" s="198"/>
      <c r="Z45" s="198"/>
    </row>
    <row r="46" spans="1:26" ht="15.75" thickBot="1" x14ac:dyDescent="0.3">
      <c r="A46" s="42"/>
      <c r="B46" s="369" t="s">
        <v>89</v>
      </c>
      <c r="C46" s="370"/>
      <c r="D46" s="370"/>
      <c r="E46" s="370"/>
      <c r="F46" s="370"/>
      <c r="G46" s="370"/>
      <c r="H46" s="370"/>
      <c r="I46" s="370"/>
      <c r="J46" s="370"/>
      <c r="K46" s="370"/>
      <c r="L46" s="370"/>
      <c r="M46" s="370"/>
      <c r="N46" s="371"/>
      <c r="O46" s="42"/>
      <c r="P46" s="42"/>
      <c r="Q46" s="42"/>
      <c r="R46" s="42"/>
      <c r="S46" s="198"/>
      <c r="T46" s="198"/>
      <c r="V46" s="42"/>
      <c r="W46" s="42"/>
      <c r="Y46" s="198"/>
      <c r="Z46" s="198"/>
    </row>
    <row r="47" spans="1:26" ht="15.75" thickBot="1" x14ac:dyDescent="0.3">
      <c r="A47" s="42"/>
      <c r="B47" s="65" t="s">
        <v>90</v>
      </c>
      <c r="C47" s="369" t="s">
        <v>91</v>
      </c>
      <c r="D47" s="371"/>
      <c r="E47" s="7"/>
      <c r="F47" s="66" t="s">
        <v>77</v>
      </c>
      <c r="G47" s="86"/>
      <c r="H47" s="66" t="s">
        <v>78</v>
      </c>
      <c r="I47" s="86"/>
      <c r="J47" s="66" t="s">
        <v>79</v>
      </c>
      <c r="K47" s="86"/>
      <c r="L47" s="66" t="s">
        <v>79</v>
      </c>
      <c r="M47" s="86"/>
      <c r="N47" s="66" t="s">
        <v>79</v>
      </c>
      <c r="O47" s="42"/>
      <c r="P47" s="86"/>
      <c r="Q47" s="66" t="s">
        <v>79</v>
      </c>
      <c r="R47" s="42"/>
      <c r="S47" s="203"/>
      <c r="T47" s="215" t="s">
        <v>79</v>
      </c>
      <c r="V47" s="86"/>
      <c r="W47" s="66" t="s">
        <v>79</v>
      </c>
      <c r="Y47" s="203"/>
      <c r="Z47" s="215" t="s">
        <v>79</v>
      </c>
    </row>
    <row r="48" spans="1:26" x14ac:dyDescent="0.2">
      <c r="A48" s="42"/>
      <c r="B48" s="70" t="s">
        <v>1</v>
      </c>
      <c r="C48" s="432" t="s">
        <v>41</v>
      </c>
      <c r="D48" s="445"/>
      <c r="E48" s="49">
        <v>0.2</v>
      </c>
      <c r="F48" s="61">
        <f>E48*($F$37+$F$44)</f>
        <v>761.45480399999997</v>
      </c>
      <c r="G48" s="49">
        <v>0.2</v>
      </c>
      <c r="H48" s="46">
        <f>G48*($H$37+$H$44)</f>
        <v>784.30037500000003</v>
      </c>
      <c r="I48" s="49">
        <v>0.2</v>
      </c>
      <c r="J48" s="46">
        <f>I48*(J37+J44)</f>
        <v>850.96319719999997</v>
      </c>
      <c r="K48" s="49">
        <v>0.2</v>
      </c>
      <c r="L48" s="46">
        <f>K48*(L37+L44)</f>
        <v>900.74173340000004</v>
      </c>
      <c r="M48" s="49">
        <v>0.2</v>
      </c>
      <c r="N48" s="46">
        <f>M48*(N37+N44)</f>
        <v>945.77532759999997</v>
      </c>
      <c r="O48" s="42"/>
      <c r="P48" s="49">
        <v>0.2</v>
      </c>
      <c r="Q48" s="46">
        <f>P48*(Q37+Q44)</f>
        <v>747.9380000000001</v>
      </c>
      <c r="R48" s="42"/>
      <c r="S48" s="222">
        <v>0.2</v>
      </c>
      <c r="T48" s="223">
        <f>S48*(T37+T44)</f>
        <v>747.9380000000001</v>
      </c>
      <c r="V48" s="49">
        <v>0.2</v>
      </c>
      <c r="W48" s="46">
        <f>V48*(W37+W44)</f>
        <v>1047.1093333333333</v>
      </c>
      <c r="Y48" s="222">
        <v>0.2</v>
      </c>
      <c r="Z48" s="223">
        <f>Y48*(Z37+Z44)</f>
        <v>942.13866666666672</v>
      </c>
    </row>
    <row r="49" spans="1:26" x14ac:dyDescent="0.2">
      <c r="A49" s="42"/>
      <c r="B49" s="71" t="s">
        <v>2</v>
      </c>
      <c r="C49" s="409" t="s">
        <v>92</v>
      </c>
      <c r="D49" s="415"/>
      <c r="E49" s="51">
        <v>2.5000000000000001E-2</v>
      </c>
      <c r="F49" s="54">
        <f t="shared" ref="F49:F55" si="0">E49*($F$37+$F$44)</f>
        <v>95.181850499999996</v>
      </c>
      <c r="G49" s="51">
        <v>2.5000000000000001E-2</v>
      </c>
      <c r="H49" s="55">
        <f t="shared" ref="H49:H55" si="1">G49*($H$37+$H$44)</f>
        <v>98.037546875000004</v>
      </c>
      <c r="I49" s="51">
        <v>2.5000000000000001E-2</v>
      </c>
      <c r="J49" s="59">
        <f>I49*(J37+J44)</f>
        <v>106.37039965</v>
      </c>
      <c r="K49" s="51">
        <v>2.5000000000000001E-2</v>
      </c>
      <c r="L49" s="59">
        <f>K49*(L37+L44)</f>
        <v>112.59271667500001</v>
      </c>
      <c r="M49" s="51">
        <v>2.5000000000000001E-2</v>
      </c>
      <c r="N49" s="59">
        <f>M49*(N37+N44)</f>
        <v>118.22191595</v>
      </c>
      <c r="O49" s="42"/>
      <c r="P49" s="51">
        <v>2.5000000000000001E-2</v>
      </c>
      <c r="Q49" s="59">
        <f>P49*(Q37+Q44)</f>
        <v>93.492250000000013</v>
      </c>
      <c r="R49" s="42"/>
      <c r="S49" s="224">
        <v>2.5000000000000001E-2</v>
      </c>
      <c r="T49" s="229">
        <f>S49*(T37+T44)</f>
        <v>93.492250000000013</v>
      </c>
      <c r="V49" s="51">
        <v>2.5000000000000001E-2</v>
      </c>
      <c r="W49" s="59">
        <f>V49*(W37+W44)</f>
        <v>130.88866666666667</v>
      </c>
      <c r="Y49" s="224">
        <v>2.5000000000000001E-2</v>
      </c>
      <c r="Z49" s="229">
        <f>Y49*(Z37+Z44)</f>
        <v>117.76733333333334</v>
      </c>
    </row>
    <row r="50" spans="1:26" x14ac:dyDescent="0.2">
      <c r="A50" s="42"/>
      <c r="B50" s="71" t="s">
        <v>4</v>
      </c>
      <c r="C50" s="409" t="s">
        <v>93</v>
      </c>
      <c r="D50" s="415"/>
      <c r="E50" s="51">
        <f>3%*0.5</f>
        <v>1.4999999999999999E-2</v>
      </c>
      <c r="F50" s="54">
        <f t="shared" si="0"/>
        <v>57.109110299999998</v>
      </c>
      <c r="G50" s="51">
        <f>3%*0.5</f>
        <v>1.4999999999999999E-2</v>
      </c>
      <c r="H50" s="81">
        <f t="shared" si="1"/>
        <v>58.822528124999998</v>
      </c>
      <c r="I50" s="51">
        <f>3%*0.5</f>
        <v>1.4999999999999999E-2</v>
      </c>
      <c r="J50" s="59">
        <f>I50*(J37+J44)</f>
        <v>63.82223978999999</v>
      </c>
      <c r="K50" s="51">
        <f>3%*0.5</f>
        <v>1.4999999999999999E-2</v>
      </c>
      <c r="L50" s="59">
        <f>K50*(L37+L44)</f>
        <v>67.555630004999998</v>
      </c>
      <c r="M50" s="51">
        <f>3%*0.5</f>
        <v>1.4999999999999999E-2</v>
      </c>
      <c r="N50" s="59">
        <f>M50*(N37+N44)</f>
        <v>70.933149569999998</v>
      </c>
      <c r="O50" s="42"/>
      <c r="P50" s="51">
        <f>3%*0.5</f>
        <v>1.4999999999999999E-2</v>
      </c>
      <c r="Q50" s="59">
        <f>P50*(Q37+Q44)</f>
        <v>56.095349999999996</v>
      </c>
      <c r="R50" s="42"/>
      <c r="S50" s="224">
        <f>3%*0.5</f>
        <v>1.4999999999999999E-2</v>
      </c>
      <c r="T50" s="229">
        <f>S50*(T37+T44)</f>
        <v>56.095349999999996</v>
      </c>
      <c r="V50" s="51">
        <f>3%*0.5</f>
        <v>1.4999999999999999E-2</v>
      </c>
      <c r="W50" s="59">
        <f>V50*(W37+W44)</f>
        <v>78.533199999999994</v>
      </c>
      <c r="Y50" s="224">
        <f>3%*0.5</f>
        <v>1.4999999999999999E-2</v>
      </c>
      <c r="Z50" s="229">
        <f>Y50*(Z37+Z44)</f>
        <v>70.660399999999996</v>
      </c>
    </row>
    <row r="51" spans="1:26" x14ac:dyDescent="0.2">
      <c r="A51" s="42"/>
      <c r="B51" s="71" t="s">
        <v>5</v>
      </c>
      <c r="C51" s="409" t="s">
        <v>94</v>
      </c>
      <c r="D51" s="415"/>
      <c r="E51" s="51">
        <v>1.4999999999999999E-2</v>
      </c>
      <c r="F51" s="54">
        <f t="shared" si="0"/>
        <v>57.109110299999998</v>
      </c>
      <c r="G51" s="51">
        <v>1.4999999999999999E-2</v>
      </c>
      <c r="H51" s="52">
        <f t="shared" si="1"/>
        <v>58.822528124999998</v>
      </c>
      <c r="I51" s="51">
        <v>1.4999999999999999E-2</v>
      </c>
      <c r="J51" s="82">
        <f>I51*(J37+J44)</f>
        <v>63.82223978999999</v>
      </c>
      <c r="K51" s="51">
        <v>1.4999999999999999E-2</v>
      </c>
      <c r="L51" s="82">
        <f>K51*(L37+L44)</f>
        <v>67.555630004999998</v>
      </c>
      <c r="M51" s="51">
        <v>1.4999999999999999E-2</v>
      </c>
      <c r="N51" s="82">
        <f>M51*(N37+N44)</f>
        <v>70.933149569999998</v>
      </c>
      <c r="O51" s="42"/>
      <c r="P51" s="51">
        <v>1.4999999999999999E-2</v>
      </c>
      <c r="Q51" s="82">
        <f>P51*(Q37+Q44)</f>
        <v>56.095349999999996</v>
      </c>
      <c r="R51" s="42"/>
      <c r="S51" s="224">
        <v>1.4999999999999999E-2</v>
      </c>
      <c r="T51" s="249">
        <f>S51*(T37+T44)</f>
        <v>56.095349999999996</v>
      </c>
      <c r="V51" s="51">
        <v>1.4999999999999999E-2</v>
      </c>
      <c r="W51" s="82">
        <f>V51*(W37+W44)</f>
        <v>78.533199999999994</v>
      </c>
      <c r="Y51" s="224">
        <v>1.4999999999999999E-2</v>
      </c>
      <c r="Z51" s="249">
        <f>Y51*(Z37+Z44)</f>
        <v>70.660399999999996</v>
      </c>
    </row>
    <row r="52" spans="1:26" x14ac:dyDescent="0.2">
      <c r="A52" s="42"/>
      <c r="B52" s="71" t="s">
        <v>6</v>
      </c>
      <c r="C52" s="409" t="s">
        <v>95</v>
      </c>
      <c r="D52" s="415"/>
      <c r="E52" s="51">
        <v>0.01</v>
      </c>
      <c r="F52" s="52">
        <f t="shared" si="0"/>
        <v>38.072740199999998</v>
      </c>
      <c r="G52" s="51">
        <v>0.01</v>
      </c>
      <c r="H52" s="55">
        <f t="shared" si="1"/>
        <v>39.215018749999999</v>
      </c>
      <c r="I52" s="51">
        <v>0.01</v>
      </c>
      <c r="J52" s="62">
        <f>I52*(J37+J44)</f>
        <v>42.548159859999998</v>
      </c>
      <c r="K52" s="51">
        <v>0.01</v>
      </c>
      <c r="L52" s="62">
        <f>K52*(L37+L44)</f>
        <v>45.037086670000001</v>
      </c>
      <c r="M52" s="51">
        <v>0.01</v>
      </c>
      <c r="N52" s="62">
        <f>M52*(N37+N44)</f>
        <v>47.288766379999998</v>
      </c>
      <c r="O52" s="42"/>
      <c r="P52" s="51">
        <v>0.01</v>
      </c>
      <c r="Q52" s="62">
        <f>P52*(Q37+Q44)</f>
        <v>37.396900000000002</v>
      </c>
      <c r="R52" s="42"/>
      <c r="S52" s="224">
        <v>0.01</v>
      </c>
      <c r="T52" s="255">
        <f>S52*(T37+T44)</f>
        <v>37.396900000000002</v>
      </c>
      <c r="V52" s="51">
        <v>0.01</v>
      </c>
      <c r="W52" s="62">
        <f>V52*(W37+W44)</f>
        <v>52.355466666666665</v>
      </c>
      <c r="Y52" s="224">
        <v>0.01</v>
      </c>
      <c r="Z52" s="255">
        <f>Y52*(Z37+Z44)</f>
        <v>47.106933333333338</v>
      </c>
    </row>
    <row r="53" spans="1:26" x14ac:dyDescent="0.2">
      <c r="A53" s="42"/>
      <c r="B53" s="80" t="s">
        <v>7</v>
      </c>
      <c r="C53" s="378" t="s">
        <v>44</v>
      </c>
      <c r="D53" s="446"/>
      <c r="E53" s="53">
        <v>6.0000000000000001E-3</v>
      </c>
      <c r="F53" s="82">
        <f t="shared" si="0"/>
        <v>22.84364412</v>
      </c>
      <c r="G53" s="53">
        <v>6.0000000000000001E-3</v>
      </c>
      <c r="H53" s="81">
        <f t="shared" si="1"/>
        <v>23.52901125</v>
      </c>
      <c r="I53" s="53">
        <v>6.0000000000000001E-3</v>
      </c>
      <c r="J53" s="59">
        <f>I53*(J37+J44)</f>
        <v>25.528895916</v>
      </c>
      <c r="K53" s="53">
        <v>6.0000000000000001E-3</v>
      </c>
      <c r="L53" s="59">
        <f>K53*(L37+L44)</f>
        <v>27.022252001999998</v>
      </c>
      <c r="M53" s="53">
        <v>6.0000000000000001E-3</v>
      </c>
      <c r="N53" s="59">
        <f>M53*(N37+N44)</f>
        <v>28.373259827999998</v>
      </c>
      <c r="O53" s="42"/>
      <c r="P53" s="53">
        <v>6.0000000000000001E-3</v>
      </c>
      <c r="Q53" s="59">
        <f>P53*(Q37+Q44)</f>
        <v>22.438140000000001</v>
      </c>
      <c r="R53" s="42"/>
      <c r="S53" s="228">
        <v>6.0000000000000001E-3</v>
      </c>
      <c r="T53" s="229">
        <f>S53*(T37+T44)</f>
        <v>22.438140000000001</v>
      </c>
      <c r="V53" s="53">
        <v>6.0000000000000001E-3</v>
      </c>
      <c r="W53" s="59">
        <f>V53*(W37+W44)</f>
        <v>31.413279999999997</v>
      </c>
      <c r="Y53" s="228">
        <v>6.0000000000000001E-3</v>
      </c>
      <c r="Z53" s="229">
        <f>Y53*(Z37+Z44)</f>
        <v>28.264160000000004</v>
      </c>
    </row>
    <row r="54" spans="1:26" x14ac:dyDescent="0.2">
      <c r="A54" s="42"/>
      <c r="B54" s="80" t="s">
        <v>8</v>
      </c>
      <c r="C54" s="378" t="s">
        <v>42</v>
      </c>
      <c r="D54" s="446"/>
      <c r="E54" s="53">
        <v>2E-3</v>
      </c>
      <c r="F54" s="52">
        <f t="shared" si="0"/>
        <v>7.6145480399999999</v>
      </c>
      <c r="G54" s="53">
        <v>2E-3</v>
      </c>
      <c r="H54" s="52">
        <f t="shared" si="1"/>
        <v>7.8430037500000003</v>
      </c>
      <c r="I54" s="53">
        <v>2E-3</v>
      </c>
      <c r="J54" s="59">
        <f>I54*(J37+J44)</f>
        <v>8.5096319719999993</v>
      </c>
      <c r="K54" s="53">
        <v>2E-3</v>
      </c>
      <c r="L54" s="59">
        <f>K54*(L37+L44)</f>
        <v>9.0074173339999994</v>
      </c>
      <c r="M54" s="53">
        <v>2E-3</v>
      </c>
      <c r="N54" s="59">
        <f>M54*(N37+N44)</f>
        <v>9.457753276</v>
      </c>
      <c r="O54" s="42"/>
      <c r="P54" s="53">
        <v>2E-3</v>
      </c>
      <c r="Q54" s="59">
        <f>P54*(Q37+Q44)</f>
        <v>7.4793799999999999</v>
      </c>
      <c r="R54" s="42"/>
      <c r="S54" s="228">
        <v>2E-3</v>
      </c>
      <c r="T54" s="229">
        <f>S54*(T37+T44)</f>
        <v>7.4793799999999999</v>
      </c>
      <c r="V54" s="53">
        <v>2E-3</v>
      </c>
      <c r="W54" s="59">
        <f>V54*(W37+W44)</f>
        <v>10.471093333333332</v>
      </c>
      <c r="Y54" s="228">
        <v>2E-3</v>
      </c>
      <c r="Z54" s="229">
        <f>Y54*(Z37+Z44)</f>
        <v>9.4213866666666668</v>
      </c>
    </row>
    <row r="55" spans="1:26" ht="13.5" thickBot="1" x14ac:dyDescent="0.25">
      <c r="A55" s="42"/>
      <c r="B55" s="80" t="s">
        <v>12</v>
      </c>
      <c r="C55" s="383" t="s">
        <v>43</v>
      </c>
      <c r="D55" s="451"/>
      <c r="E55" s="53">
        <v>0.08</v>
      </c>
      <c r="F55" s="59">
        <f t="shared" si="0"/>
        <v>304.58192159999999</v>
      </c>
      <c r="G55" s="53">
        <v>0.08</v>
      </c>
      <c r="H55" s="55">
        <f t="shared" si="1"/>
        <v>313.72014999999999</v>
      </c>
      <c r="I55" s="53">
        <v>0.08</v>
      </c>
      <c r="J55" s="59">
        <f>I55*(J37+J44)</f>
        <v>340.38527887999999</v>
      </c>
      <c r="K55" s="53">
        <v>0.08</v>
      </c>
      <c r="L55" s="59">
        <f>K55*(L37+L44)</f>
        <v>360.29669336000001</v>
      </c>
      <c r="M55" s="53">
        <v>0.08</v>
      </c>
      <c r="N55" s="59">
        <f>M55*(N37+N44)</f>
        <v>378.31013103999999</v>
      </c>
      <c r="O55" s="42"/>
      <c r="P55" s="53">
        <v>0.08</v>
      </c>
      <c r="Q55" s="59">
        <f>P55*(Q37+Q44)</f>
        <v>299.17520000000002</v>
      </c>
      <c r="R55" s="42"/>
      <c r="S55" s="228">
        <v>0.08</v>
      </c>
      <c r="T55" s="229">
        <f>S55*(T37+T44)</f>
        <v>299.17520000000002</v>
      </c>
      <c r="V55" s="53">
        <v>0.08</v>
      </c>
      <c r="W55" s="59">
        <f>V55*(W37+W44)</f>
        <v>418.84373333333332</v>
      </c>
      <c r="Y55" s="228">
        <v>0.08</v>
      </c>
      <c r="Z55" s="229">
        <f>Y55*(Z37+Z44)</f>
        <v>376.8554666666667</v>
      </c>
    </row>
    <row r="56" spans="1:26" ht="13.5" customHeight="1" thickBot="1" x14ac:dyDescent="0.3">
      <c r="A56" s="42"/>
      <c r="B56" s="369" t="s">
        <v>16</v>
      </c>
      <c r="C56" s="370"/>
      <c r="D56" s="371"/>
      <c r="E56" s="90">
        <f t="shared" ref="E56:N56" si="2">SUM(E48:E55)</f>
        <v>0.35300000000000004</v>
      </c>
      <c r="F56" s="5">
        <f t="shared" si="2"/>
        <v>1343.96772906</v>
      </c>
      <c r="G56" s="90">
        <f t="shared" si="2"/>
        <v>0.35300000000000004</v>
      </c>
      <c r="H56" s="5">
        <f t="shared" si="2"/>
        <v>1384.2901618749997</v>
      </c>
      <c r="I56" s="90">
        <f>SUM(I48:I55)</f>
        <v>0.35300000000000004</v>
      </c>
      <c r="J56" s="5">
        <f>SUM(J48:J55)</f>
        <v>1501.9500430579999</v>
      </c>
      <c r="K56" s="90">
        <f t="shared" ref="K56:L56" si="3">SUM(K48:K55)</f>
        <v>0.35300000000000004</v>
      </c>
      <c r="L56" s="5">
        <f t="shared" si="3"/>
        <v>1589.8091594509999</v>
      </c>
      <c r="M56" s="90">
        <f t="shared" si="2"/>
        <v>0.35300000000000004</v>
      </c>
      <c r="N56" s="5">
        <f t="shared" si="2"/>
        <v>1669.293453214</v>
      </c>
      <c r="O56" s="42"/>
      <c r="P56" s="90">
        <f>SUM(P48:P55)</f>
        <v>0.35300000000000004</v>
      </c>
      <c r="Q56" s="5">
        <f>SUM(Q48:Q55)</f>
        <v>1320.1105700000003</v>
      </c>
      <c r="R56" s="42"/>
      <c r="S56" s="220">
        <f>SUM(S48:S55)</f>
        <v>0.35300000000000004</v>
      </c>
      <c r="T56" s="214">
        <f>SUM(T48:T55)</f>
        <v>1320.1105700000003</v>
      </c>
      <c r="V56" s="90">
        <f>SUM(V48:V55)</f>
        <v>0.35300000000000004</v>
      </c>
      <c r="W56" s="5">
        <f>SUM(W48:W55)</f>
        <v>1848.1479733333335</v>
      </c>
      <c r="Y56" s="220">
        <f>SUM(Y48:Y55)</f>
        <v>0.35300000000000004</v>
      </c>
      <c r="Z56" s="214">
        <f>SUM(Z48:Z55)</f>
        <v>1662.8747466666664</v>
      </c>
    </row>
    <row r="57" spans="1:26" ht="13.5" thickBot="1" x14ac:dyDescent="0.25">
      <c r="A57" s="42"/>
      <c r="B57" s="42"/>
      <c r="C57" s="42"/>
      <c r="D57" s="42"/>
      <c r="E57" s="42"/>
      <c r="F57" s="83"/>
      <c r="G57" s="42"/>
      <c r="H57" s="79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198"/>
      <c r="T57" s="198"/>
      <c r="V57" s="42"/>
      <c r="W57" s="42"/>
      <c r="Y57" s="198"/>
      <c r="Z57" s="198"/>
    </row>
    <row r="58" spans="1:26" ht="15.75" thickBot="1" x14ac:dyDescent="0.3">
      <c r="A58" s="42"/>
      <c r="B58" s="369" t="s">
        <v>96</v>
      </c>
      <c r="C58" s="370"/>
      <c r="D58" s="370"/>
      <c r="E58" s="370"/>
      <c r="F58" s="370"/>
      <c r="G58" s="370"/>
      <c r="H58" s="370"/>
      <c r="I58" s="370"/>
      <c r="J58" s="370"/>
      <c r="K58" s="370"/>
      <c r="L58" s="370"/>
      <c r="M58" s="370"/>
      <c r="N58" s="371"/>
      <c r="O58" s="42"/>
      <c r="P58" s="42"/>
      <c r="Q58" s="42"/>
      <c r="R58" s="42"/>
      <c r="S58" s="198"/>
      <c r="T58" s="198"/>
      <c r="V58" s="42"/>
      <c r="W58" s="42"/>
      <c r="Y58" s="198"/>
      <c r="Z58" s="198"/>
    </row>
    <row r="59" spans="1:26" ht="15.75" thickBot="1" x14ac:dyDescent="0.3">
      <c r="A59" s="42"/>
      <c r="B59" s="65" t="s">
        <v>97</v>
      </c>
      <c r="C59" s="441" t="s">
        <v>58</v>
      </c>
      <c r="D59" s="447"/>
      <c r="E59" s="91"/>
      <c r="F59" s="66" t="s">
        <v>77</v>
      </c>
      <c r="G59" s="86"/>
      <c r="H59" s="66" t="s">
        <v>78</v>
      </c>
      <c r="I59" s="86"/>
      <c r="J59" s="66" t="s">
        <v>79</v>
      </c>
      <c r="K59" s="86"/>
      <c r="L59" s="66" t="s">
        <v>79</v>
      </c>
      <c r="M59" s="86"/>
      <c r="N59" s="66" t="s">
        <v>79</v>
      </c>
      <c r="O59" s="42"/>
      <c r="P59" s="86"/>
      <c r="Q59" s="66" t="s">
        <v>79</v>
      </c>
      <c r="R59" s="42"/>
      <c r="S59" s="203"/>
      <c r="T59" s="215" t="s">
        <v>79</v>
      </c>
      <c r="V59" s="86"/>
      <c r="W59" s="66" t="s">
        <v>79</v>
      </c>
      <c r="Y59" s="203"/>
      <c r="Z59" s="215" t="s">
        <v>79</v>
      </c>
    </row>
    <row r="60" spans="1:26" x14ac:dyDescent="0.2">
      <c r="A60" s="42"/>
      <c r="B60" s="70" t="s">
        <v>1</v>
      </c>
      <c r="C60" s="432" t="s">
        <v>36</v>
      </c>
      <c r="D60" s="445"/>
      <c r="E60" s="92">
        <v>5.5</v>
      </c>
      <c r="F60" s="50">
        <f>E60*15*2-(6%*F30)</f>
        <v>33.441000000000003</v>
      </c>
      <c r="G60" s="92">
        <v>5.5</v>
      </c>
      <c r="H60" s="50">
        <f>G60*15*2-(6%*H30)</f>
        <v>29.494200000000006</v>
      </c>
      <c r="I60" s="92">
        <v>5.5</v>
      </c>
      <c r="J60" s="46">
        <f>I60*15*2-(6%*J30)</f>
        <v>17.976600000000019</v>
      </c>
      <c r="K60" s="92">
        <v>5.5</v>
      </c>
      <c r="L60" s="46">
        <f>K60*15*2-(6%*L30)</f>
        <v>9.3762000000000114</v>
      </c>
      <c r="M60" s="92">
        <v>5.5</v>
      </c>
      <c r="N60" s="46">
        <f>M60*15*2-(6%*N30)</f>
        <v>1.5954000000000121</v>
      </c>
      <c r="O60" s="42"/>
      <c r="P60" s="92">
        <v>5.5</v>
      </c>
      <c r="Q60" s="46">
        <f>P60*15*2-(6%*Q30)</f>
        <v>9.3762000000000114</v>
      </c>
      <c r="R60" s="42"/>
      <c r="S60" s="230">
        <v>5.5</v>
      </c>
      <c r="T60" s="223">
        <f>S60*15*2-(6%*T30)</f>
        <v>9.3762000000000114</v>
      </c>
      <c r="V60" s="92">
        <v>0</v>
      </c>
      <c r="W60" s="46">
        <f>V60*15*2-(6%*W30)</f>
        <v>0</v>
      </c>
      <c r="Y60" s="230">
        <v>0</v>
      </c>
      <c r="Z60" s="223">
        <f>Y60*15*2-(6%*Z30)</f>
        <v>0</v>
      </c>
    </row>
    <row r="61" spans="1:26" x14ac:dyDescent="0.2">
      <c r="A61" s="42"/>
      <c r="B61" s="71" t="s">
        <v>2</v>
      </c>
      <c r="C61" s="409" t="s">
        <v>98</v>
      </c>
      <c r="D61" s="415"/>
      <c r="E61" s="93">
        <v>37.5</v>
      </c>
      <c r="F61" s="52">
        <f>E61*15</f>
        <v>562.5</v>
      </c>
      <c r="G61" s="93">
        <v>39.29</v>
      </c>
      <c r="H61" s="52">
        <f>G61*15</f>
        <v>589.35</v>
      </c>
      <c r="I61" s="93">
        <v>42.63</v>
      </c>
      <c r="J61" s="52">
        <f>I61*15</f>
        <v>639.45000000000005</v>
      </c>
      <c r="K61" s="93">
        <v>45.12</v>
      </c>
      <c r="L61" s="52">
        <f>K61*15</f>
        <v>676.8</v>
      </c>
      <c r="M61" s="310">
        <v>47.37</v>
      </c>
      <c r="N61" s="52">
        <f>M61*15</f>
        <v>710.55</v>
      </c>
      <c r="O61" s="42"/>
      <c r="P61" s="93">
        <v>45.12</v>
      </c>
      <c r="Q61" s="52">
        <f>P61*15</f>
        <v>676.8</v>
      </c>
      <c r="R61" s="42"/>
      <c r="S61" s="231">
        <v>45.12</v>
      </c>
      <c r="T61" s="227">
        <f>S61*15</f>
        <v>676.8</v>
      </c>
      <c r="V61" s="93">
        <v>0</v>
      </c>
      <c r="W61" s="52">
        <f>V61*15</f>
        <v>0</v>
      </c>
      <c r="Y61" s="231">
        <v>0</v>
      </c>
      <c r="Z61" s="227">
        <f>Y61*15</f>
        <v>0</v>
      </c>
    </row>
    <row r="62" spans="1:26" x14ac:dyDescent="0.2">
      <c r="A62" s="42"/>
      <c r="B62" s="71" t="s">
        <v>159</v>
      </c>
      <c r="C62" s="409" t="s">
        <v>160</v>
      </c>
      <c r="D62" s="415"/>
      <c r="E62" s="93">
        <f>E61*0.02</f>
        <v>0.75</v>
      </c>
      <c r="F62" s="52">
        <f>E62*-15</f>
        <v>-11.25</v>
      </c>
      <c r="G62" s="93">
        <f>G61*0.02</f>
        <v>0.78580000000000005</v>
      </c>
      <c r="H62" s="52">
        <f>G62*-15</f>
        <v>-11.787000000000001</v>
      </c>
      <c r="I62" s="93">
        <f>I61*0.02</f>
        <v>0.85260000000000002</v>
      </c>
      <c r="J62" s="52">
        <f>I62*-15</f>
        <v>-12.789</v>
      </c>
      <c r="K62" s="93">
        <f>K61*0.02</f>
        <v>0.90239999999999998</v>
      </c>
      <c r="L62" s="52">
        <f>K62*-15</f>
        <v>-13.536</v>
      </c>
      <c r="M62" s="93">
        <f>M61*0.02</f>
        <v>0.94740000000000002</v>
      </c>
      <c r="N62" s="52">
        <f>M62*-15</f>
        <v>-14.211</v>
      </c>
      <c r="O62" s="42"/>
      <c r="P62" s="93">
        <f>P61*0.02</f>
        <v>0.90239999999999998</v>
      </c>
      <c r="Q62" s="52">
        <f>P62*-15</f>
        <v>-13.536</v>
      </c>
      <c r="R62" s="42"/>
      <c r="S62" s="231">
        <f>S61*0.02</f>
        <v>0.90239999999999998</v>
      </c>
      <c r="T62" s="227">
        <f>S62*-15</f>
        <v>-13.536</v>
      </c>
      <c r="V62" s="93">
        <f>V61*0.02</f>
        <v>0</v>
      </c>
      <c r="W62" s="52">
        <f>V62*-15</f>
        <v>0</v>
      </c>
      <c r="Y62" s="231">
        <f>Y61*0.02</f>
        <v>0</v>
      </c>
      <c r="Z62" s="227">
        <f>Y62*-15</f>
        <v>0</v>
      </c>
    </row>
    <row r="63" spans="1:26" ht="13.5" thickBot="1" x14ac:dyDescent="0.25">
      <c r="A63" s="42"/>
      <c r="B63" s="71" t="s">
        <v>4</v>
      </c>
      <c r="C63" s="409" t="s">
        <v>161</v>
      </c>
      <c r="D63" s="415"/>
      <c r="E63" s="93"/>
      <c r="F63" s="52">
        <v>10.9</v>
      </c>
      <c r="G63" s="93"/>
      <c r="H63" s="52">
        <v>10.9</v>
      </c>
      <c r="I63" s="93"/>
      <c r="J63" s="52">
        <v>10.9</v>
      </c>
      <c r="K63" s="93"/>
      <c r="L63" s="52">
        <v>10.9</v>
      </c>
      <c r="M63" s="93"/>
      <c r="N63" s="52">
        <v>10.9</v>
      </c>
      <c r="O63" s="42"/>
      <c r="P63" s="93"/>
      <c r="Q63" s="52">
        <v>10.9</v>
      </c>
      <c r="R63" s="42"/>
      <c r="S63" s="231"/>
      <c r="T63" s="227">
        <v>10.9</v>
      </c>
      <c r="V63" s="93"/>
      <c r="W63" s="52">
        <v>0</v>
      </c>
      <c r="Y63" s="231"/>
      <c r="Z63" s="227">
        <v>0</v>
      </c>
    </row>
    <row r="64" spans="1:26" ht="15.75" thickBot="1" x14ac:dyDescent="0.3">
      <c r="A64" s="42"/>
      <c r="B64" s="369" t="s">
        <v>16</v>
      </c>
      <c r="C64" s="370"/>
      <c r="D64" s="370"/>
      <c r="E64" s="371"/>
      <c r="F64" s="5">
        <f>SUM(F60:F63)</f>
        <v>595.59100000000001</v>
      </c>
      <c r="G64" s="8"/>
      <c r="H64" s="5">
        <f>SUM(H60:H63)</f>
        <v>617.95719999999994</v>
      </c>
      <c r="I64" s="8"/>
      <c r="J64" s="5">
        <f>SUM(J60:J63)</f>
        <v>655.5376</v>
      </c>
      <c r="K64" s="8"/>
      <c r="L64" s="5">
        <f>SUM(L60:L63)</f>
        <v>683.54020000000003</v>
      </c>
      <c r="M64" s="8"/>
      <c r="N64" s="5">
        <f>SUM(N60:N63)</f>
        <v>708.83439999999996</v>
      </c>
      <c r="O64" s="42"/>
      <c r="P64" s="8"/>
      <c r="Q64" s="5">
        <f>SUM(Q60:Q63)</f>
        <v>683.54020000000003</v>
      </c>
      <c r="R64" s="42"/>
      <c r="S64" s="232"/>
      <c r="T64" s="214">
        <f>SUM(T60:T63)</f>
        <v>683.54020000000003</v>
      </c>
      <c r="V64" s="8"/>
      <c r="W64" s="5">
        <f>SUM(W60:W63)</f>
        <v>0</v>
      </c>
      <c r="Y64" s="232"/>
      <c r="Z64" s="214">
        <f>SUM(Z60:Z63)</f>
        <v>0</v>
      </c>
    </row>
    <row r="65" spans="1:26" ht="13.5" thickBot="1" x14ac:dyDescent="0.25">
      <c r="A65" s="42"/>
      <c r="B65" s="142"/>
      <c r="C65" s="9"/>
      <c r="D65" s="9"/>
      <c r="E65" s="9"/>
      <c r="F65" s="9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198"/>
      <c r="T65" s="198"/>
      <c r="V65" s="42"/>
      <c r="W65" s="42"/>
      <c r="Y65" s="198"/>
      <c r="Z65" s="198"/>
    </row>
    <row r="66" spans="1:26" ht="15.75" thickBot="1" x14ac:dyDescent="0.3">
      <c r="A66" s="73"/>
      <c r="B66" s="369" t="s">
        <v>99</v>
      </c>
      <c r="C66" s="370"/>
      <c r="D66" s="370"/>
      <c r="E66" s="370"/>
      <c r="F66" s="370"/>
      <c r="G66" s="370"/>
      <c r="H66" s="370"/>
      <c r="I66" s="370"/>
      <c r="J66" s="370"/>
      <c r="K66" s="370"/>
      <c r="L66" s="370"/>
      <c r="M66" s="370"/>
      <c r="N66" s="371"/>
      <c r="O66" s="42"/>
      <c r="P66" s="42"/>
      <c r="Q66" s="42"/>
      <c r="R66" s="42"/>
      <c r="S66" s="198"/>
      <c r="T66" s="198"/>
      <c r="V66" s="42"/>
      <c r="W66" s="42"/>
      <c r="Y66" s="198"/>
      <c r="Z66" s="198"/>
    </row>
    <row r="67" spans="1:26" ht="15.75" thickBot="1" x14ac:dyDescent="0.3">
      <c r="A67" s="42"/>
      <c r="B67" s="65">
        <v>2</v>
      </c>
      <c r="C67" s="441" t="s">
        <v>100</v>
      </c>
      <c r="D67" s="447"/>
      <c r="E67" s="134" t="s">
        <v>13</v>
      </c>
      <c r="F67" s="4" t="s">
        <v>35</v>
      </c>
      <c r="G67" s="137" t="s">
        <v>13</v>
      </c>
      <c r="H67" s="4" t="s">
        <v>35</v>
      </c>
      <c r="I67" s="137" t="s">
        <v>13</v>
      </c>
      <c r="J67" s="4" t="s">
        <v>35</v>
      </c>
      <c r="K67" s="137" t="s">
        <v>13</v>
      </c>
      <c r="L67" s="4" t="s">
        <v>35</v>
      </c>
      <c r="M67" s="137" t="s">
        <v>13</v>
      </c>
      <c r="N67" s="4" t="s">
        <v>35</v>
      </c>
      <c r="O67" s="42"/>
      <c r="P67" s="137" t="s">
        <v>13</v>
      </c>
      <c r="Q67" s="4" t="s">
        <v>35</v>
      </c>
      <c r="R67" s="42"/>
      <c r="S67" s="233" t="s">
        <v>13</v>
      </c>
      <c r="T67" s="234" t="s">
        <v>35</v>
      </c>
      <c r="V67" s="137" t="s">
        <v>13</v>
      </c>
      <c r="W67" s="4" t="s">
        <v>35</v>
      </c>
      <c r="Y67" s="233" t="s">
        <v>13</v>
      </c>
      <c r="Z67" s="234" t="s">
        <v>35</v>
      </c>
    </row>
    <row r="68" spans="1:26" x14ac:dyDescent="0.2">
      <c r="A68" s="42"/>
      <c r="B68" s="70" t="s">
        <v>1</v>
      </c>
      <c r="C68" s="432" t="s">
        <v>86</v>
      </c>
      <c r="D68" s="445"/>
      <c r="E68" s="49">
        <f>E44</f>
        <v>0.20429999999999998</v>
      </c>
      <c r="F68" s="55">
        <f>F44</f>
        <v>645.87401999999997</v>
      </c>
      <c r="G68" s="49"/>
      <c r="H68" s="55">
        <f>H44</f>
        <v>665.25187499999993</v>
      </c>
      <c r="I68" s="49"/>
      <c r="J68" s="55">
        <f>J44</f>
        <v>721.79598599999997</v>
      </c>
      <c r="K68" s="49"/>
      <c r="L68" s="55">
        <f>L44</f>
        <v>764.01866700000005</v>
      </c>
      <c r="M68" s="49"/>
      <c r="N68" s="55">
        <f>N44</f>
        <v>802.21663799999999</v>
      </c>
      <c r="O68" s="42"/>
      <c r="P68" s="49"/>
      <c r="Q68" s="55">
        <f>Q44</f>
        <v>0</v>
      </c>
      <c r="R68" s="42"/>
      <c r="S68" s="222"/>
      <c r="T68" s="235">
        <f>T44</f>
        <v>0</v>
      </c>
      <c r="V68" s="49"/>
      <c r="W68" s="55">
        <f>W44</f>
        <v>5235.5466666666662</v>
      </c>
      <c r="Y68" s="222"/>
      <c r="Z68" s="235">
        <f>Z44</f>
        <v>4710.6933333333336</v>
      </c>
    </row>
    <row r="69" spans="1:26" x14ac:dyDescent="0.2">
      <c r="A69" s="42"/>
      <c r="B69" s="71" t="s">
        <v>2</v>
      </c>
      <c r="C69" s="409" t="s">
        <v>91</v>
      </c>
      <c r="D69" s="415"/>
      <c r="E69" s="51">
        <f>E56</f>
        <v>0.35300000000000004</v>
      </c>
      <c r="F69" s="52">
        <f>F56</f>
        <v>1343.96772906</v>
      </c>
      <c r="G69" s="51"/>
      <c r="H69" s="52">
        <f>H56</f>
        <v>1384.2901618749997</v>
      </c>
      <c r="I69" s="51"/>
      <c r="J69" s="52">
        <f>J56</f>
        <v>1501.9500430579999</v>
      </c>
      <c r="K69" s="51"/>
      <c r="L69" s="52">
        <f>L56</f>
        <v>1589.8091594509999</v>
      </c>
      <c r="M69" s="51"/>
      <c r="N69" s="52">
        <f>N56</f>
        <v>1669.293453214</v>
      </c>
      <c r="O69" s="42"/>
      <c r="P69" s="51"/>
      <c r="Q69" s="52">
        <f>Q56</f>
        <v>1320.1105700000003</v>
      </c>
      <c r="R69" s="42"/>
      <c r="S69" s="224"/>
      <c r="T69" s="227">
        <f>T56</f>
        <v>1320.1105700000003</v>
      </c>
      <c r="V69" s="51"/>
      <c r="W69" s="52">
        <f>W56</f>
        <v>1848.1479733333335</v>
      </c>
      <c r="Y69" s="224"/>
      <c r="Z69" s="227">
        <f>Z56</f>
        <v>1662.8747466666664</v>
      </c>
    </row>
    <row r="70" spans="1:26" ht="13.5" thickBot="1" x14ac:dyDescent="0.25">
      <c r="A70" s="42"/>
      <c r="B70" s="71" t="s">
        <v>4</v>
      </c>
      <c r="C70" s="452" t="s">
        <v>58</v>
      </c>
      <c r="D70" s="453"/>
      <c r="E70" s="51"/>
      <c r="F70" s="52">
        <f>F64</f>
        <v>595.59100000000001</v>
      </c>
      <c r="G70" s="51"/>
      <c r="H70" s="52">
        <f>H64</f>
        <v>617.95719999999994</v>
      </c>
      <c r="I70" s="51"/>
      <c r="J70" s="52">
        <f>J64</f>
        <v>655.5376</v>
      </c>
      <c r="K70" s="51"/>
      <c r="L70" s="52">
        <f>L64</f>
        <v>683.54020000000003</v>
      </c>
      <c r="M70" s="51"/>
      <c r="N70" s="52">
        <f>N64</f>
        <v>708.83439999999996</v>
      </c>
      <c r="O70" s="42"/>
      <c r="P70" s="51"/>
      <c r="Q70" s="52">
        <f>Q64</f>
        <v>683.54020000000003</v>
      </c>
      <c r="R70" s="42"/>
      <c r="S70" s="224"/>
      <c r="T70" s="227">
        <f>T64</f>
        <v>683.54020000000003</v>
      </c>
      <c r="V70" s="51"/>
      <c r="W70" s="52">
        <f>W64</f>
        <v>0</v>
      </c>
      <c r="Y70" s="224"/>
      <c r="Z70" s="227">
        <f>Z64</f>
        <v>0</v>
      </c>
    </row>
    <row r="71" spans="1:26" ht="15.75" thickBot="1" x14ac:dyDescent="0.3">
      <c r="A71" s="42"/>
      <c r="B71" s="369" t="s">
        <v>16</v>
      </c>
      <c r="C71" s="370"/>
      <c r="D71" s="370"/>
      <c r="E71" s="146">
        <f>SUM(E68:E70)</f>
        <v>0.55730000000000002</v>
      </c>
      <c r="F71" s="5">
        <f>SUM(F68:F70)</f>
        <v>2585.4327490599999</v>
      </c>
      <c r="G71" s="56"/>
      <c r="H71" s="5">
        <f>SUM(H68:H70)</f>
        <v>2667.4992368749995</v>
      </c>
      <c r="I71" s="56"/>
      <c r="J71" s="5">
        <f>SUM(J68:J70)</f>
        <v>2879.2836290579999</v>
      </c>
      <c r="K71" s="56"/>
      <c r="L71" s="5">
        <f>SUM(L68:L70)</f>
        <v>3037.3680264509999</v>
      </c>
      <c r="M71" s="56"/>
      <c r="N71" s="5">
        <f>SUM(N68:N70)</f>
        <v>3180.3444912140003</v>
      </c>
      <c r="O71" s="42"/>
      <c r="P71" s="56"/>
      <c r="Q71" s="5">
        <f>SUM(Q68:Q70)</f>
        <v>2003.6507700000002</v>
      </c>
      <c r="R71" s="42"/>
      <c r="S71" s="236"/>
      <c r="T71" s="214">
        <f>SUM(T68:T70)</f>
        <v>2003.6507700000002</v>
      </c>
      <c r="V71" s="56"/>
      <c r="W71" s="5">
        <f>SUM(W68:W70)</f>
        <v>7083.6946399999997</v>
      </c>
      <c r="Y71" s="236"/>
      <c r="Z71" s="214">
        <f>SUM(Z68:Z70)</f>
        <v>6373.56808</v>
      </c>
    </row>
    <row r="72" spans="1:26" ht="15.75" thickBot="1" x14ac:dyDescent="0.3">
      <c r="A72" s="42"/>
      <c r="B72" s="135"/>
      <c r="C72" s="135"/>
      <c r="D72" s="135"/>
      <c r="E72" s="87"/>
      <c r="F72" s="25"/>
      <c r="G72" s="42"/>
      <c r="H72" s="25"/>
      <c r="I72" s="42"/>
      <c r="J72" s="25"/>
      <c r="K72" s="42"/>
      <c r="L72" s="25"/>
      <c r="M72" s="42"/>
      <c r="N72" s="25"/>
      <c r="O72" s="42"/>
      <c r="P72" s="42"/>
      <c r="Q72" s="25"/>
      <c r="R72" s="42"/>
      <c r="S72" s="198"/>
      <c r="T72" s="237"/>
      <c r="V72" s="42"/>
      <c r="W72" s="25"/>
      <c r="Y72" s="198"/>
      <c r="Z72" s="237"/>
    </row>
    <row r="73" spans="1:26" ht="15.75" thickBot="1" x14ac:dyDescent="0.3">
      <c r="A73" s="42"/>
      <c r="B73" s="369" t="s">
        <v>101</v>
      </c>
      <c r="C73" s="370"/>
      <c r="D73" s="370"/>
      <c r="E73" s="370"/>
      <c r="F73" s="370"/>
      <c r="G73" s="370"/>
      <c r="H73" s="370"/>
      <c r="I73" s="370"/>
      <c r="J73" s="370"/>
      <c r="K73" s="370"/>
      <c r="L73" s="370"/>
      <c r="M73" s="370"/>
      <c r="N73" s="371"/>
      <c r="O73" s="42"/>
      <c r="P73" s="42"/>
      <c r="Q73" s="42"/>
      <c r="R73" s="42"/>
      <c r="S73" s="198"/>
      <c r="T73" s="198"/>
      <c r="V73" s="42"/>
      <c r="W73" s="42"/>
      <c r="Y73" s="198"/>
      <c r="Z73" s="198"/>
    </row>
    <row r="74" spans="1:26" ht="15.75" thickBot="1" x14ac:dyDescent="0.3">
      <c r="A74" s="42"/>
      <c r="B74" s="65">
        <v>3</v>
      </c>
      <c r="C74" s="441" t="s">
        <v>45</v>
      </c>
      <c r="D74" s="447"/>
      <c r="E74" s="134" t="s">
        <v>13</v>
      </c>
      <c r="F74" s="136" t="s">
        <v>35</v>
      </c>
      <c r="G74" s="4" t="s">
        <v>13</v>
      </c>
      <c r="H74" s="4" t="s">
        <v>35</v>
      </c>
      <c r="I74" s="4" t="s">
        <v>13</v>
      </c>
      <c r="J74" s="138" t="s">
        <v>35</v>
      </c>
      <c r="K74" s="4" t="s">
        <v>13</v>
      </c>
      <c r="L74" s="138" t="s">
        <v>35</v>
      </c>
      <c r="M74" s="4" t="s">
        <v>13</v>
      </c>
      <c r="N74" s="138" t="s">
        <v>35</v>
      </c>
      <c r="O74" s="42"/>
      <c r="P74" s="4" t="s">
        <v>13</v>
      </c>
      <c r="Q74" s="138" t="s">
        <v>35</v>
      </c>
      <c r="R74" s="42"/>
      <c r="S74" s="234" t="s">
        <v>13</v>
      </c>
      <c r="T74" s="238" t="s">
        <v>35</v>
      </c>
      <c r="V74" s="4" t="s">
        <v>13</v>
      </c>
      <c r="W74" s="138" t="s">
        <v>35</v>
      </c>
      <c r="Y74" s="234" t="s">
        <v>13</v>
      </c>
      <c r="Z74" s="238" t="s">
        <v>35</v>
      </c>
    </row>
    <row r="75" spans="1:26" x14ac:dyDescent="0.2">
      <c r="A75" s="42"/>
      <c r="B75" s="70" t="s">
        <v>1</v>
      </c>
      <c r="C75" s="432" t="s">
        <v>104</v>
      </c>
      <c r="D75" s="445"/>
      <c r="E75" s="132">
        <f>1/12*0.01</f>
        <v>8.3333333333333328E-4</v>
      </c>
      <c r="F75" s="59">
        <f t="shared" ref="F75:F80" si="4">$F$37*E75</f>
        <v>2.6345000000000001</v>
      </c>
      <c r="G75" s="132">
        <f>1/12*0.01*3/30</f>
        <v>8.3333333333333317E-5</v>
      </c>
      <c r="H75" s="59">
        <f t="shared" ref="H75:H80" si="5">$H$37*G75</f>
        <v>0.27135416666666662</v>
      </c>
      <c r="I75" s="132">
        <f>1/12*0.01*3/30</f>
        <v>8.3333333333333317E-5</v>
      </c>
      <c r="J75" s="55">
        <f>J37*I75</f>
        <v>0.29441833333333328</v>
      </c>
      <c r="K75" s="132">
        <f>1/12*0.01*3/30</f>
        <v>8.3333333333333317E-5</v>
      </c>
      <c r="L75" s="55">
        <f>L37*K75</f>
        <v>0.31164083333333326</v>
      </c>
      <c r="M75" s="132">
        <f>1/12*0.01*3/30</f>
        <v>8.3333333333333317E-5</v>
      </c>
      <c r="N75" s="55">
        <f>N37*M75</f>
        <v>0.32722166666666658</v>
      </c>
      <c r="O75" s="42"/>
      <c r="P75" s="132">
        <v>0</v>
      </c>
      <c r="Q75" s="55">
        <f>Q37*P75</f>
        <v>0</v>
      </c>
      <c r="R75" s="42"/>
      <c r="S75" s="239">
        <f>1/12*0.01*3/30</f>
        <v>8.3333333333333317E-5</v>
      </c>
      <c r="T75" s="235">
        <f>T37*S75</f>
        <v>0.31164083333333326</v>
      </c>
      <c r="V75" s="132">
        <v>0</v>
      </c>
      <c r="W75" s="55">
        <f>W37*V75</f>
        <v>0</v>
      </c>
      <c r="Y75" s="239">
        <v>0</v>
      </c>
      <c r="Z75" s="235">
        <f>Z37*Y75</f>
        <v>0</v>
      </c>
    </row>
    <row r="76" spans="1:26" x14ac:dyDescent="0.2">
      <c r="A76" s="42"/>
      <c r="B76" s="71" t="s">
        <v>2</v>
      </c>
      <c r="C76" s="409" t="s">
        <v>67</v>
      </c>
      <c r="D76" s="415"/>
      <c r="E76" s="123">
        <f>E75*E55</f>
        <v>6.666666666666667E-5</v>
      </c>
      <c r="F76" s="59">
        <f t="shared" si="4"/>
        <v>0.21076</v>
      </c>
      <c r="G76" s="123">
        <f>G75*G55</f>
        <v>6.6666666666666658E-6</v>
      </c>
      <c r="H76" s="59">
        <f t="shared" si="5"/>
        <v>2.1708333333333329E-2</v>
      </c>
      <c r="I76" s="123">
        <f>I75*I55</f>
        <v>6.6666666666666658E-6</v>
      </c>
      <c r="J76" s="52">
        <f>J37*I76</f>
        <v>2.3553466666666665E-2</v>
      </c>
      <c r="K76" s="123">
        <f>K75*K55</f>
        <v>6.6666666666666658E-6</v>
      </c>
      <c r="L76" s="52">
        <f>L37*K76</f>
        <v>2.4931266666666663E-2</v>
      </c>
      <c r="M76" s="123">
        <f>M75*M55</f>
        <v>6.6666666666666658E-6</v>
      </c>
      <c r="N76" s="52">
        <f>N37*M76</f>
        <v>2.6177733333333328E-2</v>
      </c>
      <c r="O76" s="42"/>
      <c r="P76" s="123">
        <f>P75*P55</f>
        <v>0</v>
      </c>
      <c r="Q76" s="52">
        <f>Q37*P76</f>
        <v>0</v>
      </c>
      <c r="R76" s="42"/>
      <c r="S76" s="240">
        <f>S75*S55</f>
        <v>6.6666666666666658E-6</v>
      </c>
      <c r="T76" s="227">
        <f>T37*S76</f>
        <v>2.4931266666666663E-2</v>
      </c>
      <c r="V76" s="123">
        <f>V75*V55</f>
        <v>0</v>
      </c>
      <c r="W76" s="52">
        <f>W37*V76</f>
        <v>0</v>
      </c>
      <c r="Y76" s="240">
        <f>Y75*Y55</f>
        <v>0</v>
      </c>
      <c r="Z76" s="227">
        <f>Z37*Y76</f>
        <v>0</v>
      </c>
    </row>
    <row r="77" spans="1:26" x14ac:dyDescent="0.2">
      <c r="A77" s="42"/>
      <c r="B77" s="71" t="s">
        <v>4</v>
      </c>
      <c r="C77" s="409" t="s">
        <v>162</v>
      </c>
      <c r="D77" s="415"/>
      <c r="E77" s="51">
        <f>0.08*0.4*0.95</f>
        <v>3.04E-2</v>
      </c>
      <c r="F77" s="59">
        <f t="shared" si="4"/>
        <v>96.106560000000002</v>
      </c>
      <c r="G77" s="51">
        <f>0.08*0.4*0.95</f>
        <v>3.04E-2</v>
      </c>
      <c r="H77" s="59">
        <f t="shared" si="5"/>
        <v>98.99</v>
      </c>
      <c r="I77" s="51">
        <f>0.08*0.4*0.95</f>
        <v>3.04E-2</v>
      </c>
      <c r="J77" s="52">
        <f>J37*I77</f>
        <v>107.403808</v>
      </c>
      <c r="K77" s="51">
        <f>0.08*0.4*0.95</f>
        <v>3.04E-2</v>
      </c>
      <c r="L77" s="52">
        <f>L37*K77</f>
        <v>113.686576</v>
      </c>
      <c r="M77" s="51">
        <f>0.08*0.4*0.95</f>
        <v>3.04E-2</v>
      </c>
      <c r="N77" s="52">
        <f>N37*M77</f>
        <v>119.370464</v>
      </c>
      <c r="O77" s="42"/>
      <c r="P77" s="51">
        <v>0</v>
      </c>
      <c r="Q77" s="52">
        <f>Q37*P77</f>
        <v>0</v>
      </c>
      <c r="R77" s="42"/>
      <c r="S77" s="224">
        <f>0.08*0.4*0.95</f>
        <v>3.04E-2</v>
      </c>
      <c r="T77" s="227">
        <f>T37*S77</f>
        <v>113.686576</v>
      </c>
      <c r="V77" s="51">
        <v>0</v>
      </c>
      <c r="W77" s="52">
        <f>W37*V77</f>
        <v>0</v>
      </c>
      <c r="Y77" s="224">
        <v>0</v>
      </c>
      <c r="Z77" s="227">
        <f>Z37*Y77</f>
        <v>0</v>
      </c>
    </row>
    <row r="78" spans="1:26" x14ac:dyDescent="0.2">
      <c r="A78" s="42"/>
      <c r="B78" s="71" t="s">
        <v>5</v>
      </c>
      <c r="C78" s="409" t="s">
        <v>102</v>
      </c>
      <c r="D78" s="415"/>
      <c r="E78" s="102">
        <f>7/30/12*0.01</f>
        <v>1.9444444444444446E-4</v>
      </c>
      <c r="F78" s="59">
        <f t="shared" si="4"/>
        <v>0.61471666666666669</v>
      </c>
      <c r="G78" s="102">
        <f>7/30/12*0.01*3/30</f>
        <v>1.9444444444444445E-5</v>
      </c>
      <c r="H78" s="59">
        <f t="shared" si="5"/>
        <v>6.3315972222222225E-2</v>
      </c>
      <c r="I78" s="102">
        <f>7/30/12*0.01*3/30</f>
        <v>1.9444444444444445E-5</v>
      </c>
      <c r="J78" s="52">
        <f>J37*I78</f>
        <v>6.8697611111111112E-2</v>
      </c>
      <c r="K78" s="102">
        <f>7/30/12*0.01*3/30</f>
        <v>1.9444444444444445E-5</v>
      </c>
      <c r="L78" s="52">
        <f>L37*K78</f>
        <v>7.2716194444444451E-2</v>
      </c>
      <c r="M78" s="102">
        <f>7/30/12*0.01*3/30</f>
        <v>1.9444444444444445E-5</v>
      </c>
      <c r="N78" s="52">
        <f>N37*M78</f>
        <v>7.6351722222222224E-2</v>
      </c>
      <c r="O78" s="42"/>
      <c r="P78" s="102">
        <v>0</v>
      </c>
      <c r="Q78" s="52">
        <f>Q37*P78</f>
        <v>0</v>
      </c>
      <c r="R78" s="42"/>
      <c r="S78" s="241">
        <f>7/30/12*0.01*3/30</f>
        <v>1.9444444444444445E-5</v>
      </c>
      <c r="T78" s="227">
        <f>T37*S78</f>
        <v>7.2716194444444451E-2</v>
      </c>
      <c r="V78" s="102">
        <v>0</v>
      </c>
      <c r="W78" s="52">
        <f>W37*V78</f>
        <v>0</v>
      </c>
      <c r="Y78" s="241">
        <v>0</v>
      </c>
      <c r="Z78" s="227">
        <f>Z37*Y78</f>
        <v>0</v>
      </c>
    </row>
    <row r="79" spans="1:26" x14ac:dyDescent="0.2">
      <c r="A79" s="42"/>
      <c r="B79" s="71" t="s">
        <v>6</v>
      </c>
      <c r="C79" s="409" t="s">
        <v>103</v>
      </c>
      <c r="D79" s="415"/>
      <c r="E79" s="123">
        <f>E78*E56</f>
        <v>6.8638888888888902E-5</v>
      </c>
      <c r="F79" s="59">
        <f t="shared" si="4"/>
        <v>0.21699498333333339</v>
      </c>
      <c r="G79" s="123">
        <f>G78*G56</f>
        <v>6.8638888888888899E-6</v>
      </c>
      <c r="H79" s="59">
        <f t="shared" si="5"/>
        <v>2.2350538194444446E-2</v>
      </c>
      <c r="I79" s="123">
        <f>I78*I56</f>
        <v>6.8638888888888899E-6</v>
      </c>
      <c r="J79" s="52">
        <f>J37*I79</f>
        <v>2.4250256722222224E-2</v>
      </c>
      <c r="K79" s="123">
        <f>K78*K56</f>
        <v>6.8638888888888899E-6</v>
      </c>
      <c r="L79" s="52">
        <f>L37*K79</f>
        <v>2.5668816638888894E-2</v>
      </c>
      <c r="M79" s="123">
        <f>M78*M56</f>
        <v>6.8638888888888899E-6</v>
      </c>
      <c r="N79" s="52">
        <f>N37*M79</f>
        <v>2.6952157944444447E-2</v>
      </c>
      <c r="O79" s="42"/>
      <c r="P79" s="123">
        <f>P78*P56</f>
        <v>0</v>
      </c>
      <c r="Q79" s="52">
        <f>Q37*P79</f>
        <v>0</v>
      </c>
      <c r="R79" s="42"/>
      <c r="S79" s="240">
        <f>S78*S56</f>
        <v>6.8638888888888899E-6</v>
      </c>
      <c r="T79" s="227">
        <f>T37*S79</f>
        <v>2.5668816638888894E-2</v>
      </c>
      <c r="V79" s="123">
        <f>V78*V56</f>
        <v>0</v>
      </c>
      <c r="W79" s="52">
        <f>W37*V79</f>
        <v>0</v>
      </c>
      <c r="Y79" s="240">
        <f>Y78*Y56</f>
        <v>0</v>
      </c>
      <c r="Z79" s="227">
        <f>Z37*Y79</f>
        <v>0</v>
      </c>
    </row>
    <row r="80" spans="1:26" ht="13.5" thickBot="1" x14ac:dyDescent="0.25">
      <c r="A80" s="42"/>
      <c r="B80" s="80" t="s">
        <v>7</v>
      </c>
      <c r="C80" s="378" t="s">
        <v>163</v>
      </c>
      <c r="D80" s="446"/>
      <c r="E80" s="144">
        <f>E78*0.4</f>
        <v>7.7777777777777795E-5</v>
      </c>
      <c r="F80" s="82">
        <f t="shared" si="4"/>
        <v>0.24588666666666673</v>
      </c>
      <c r="G80" s="144">
        <f>G78*0.4</f>
        <v>7.7777777777777792E-6</v>
      </c>
      <c r="H80" s="59">
        <f t="shared" si="5"/>
        <v>2.5326388888888895E-2</v>
      </c>
      <c r="I80" s="144">
        <f>I78*0.4</f>
        <v>7.7777777777777792E-6</v>
      </c>
      <c r="J80" s="52">
        <f>J37*I80</f>
        <v>2.7479044444444448E-2</v>
      </c>
      <c r="K80" s="144">
        <f>K78*0.4</f>
        <v>7.7777777777777792E-6</v>
      </c>
      <c r="L80" s="52">
        <f>L37*K80</f>
        <v>2.9086477777777783E-2</v>
      </c>
      <c r="M80" s="144">
        <f>M78*0.4</f>
        <v>7.7777777777777792E-6</v>
      </c>
      <c r="N80" s="52">
        <f>N37*M80</f>
        <v>3.0540688888888893E-2</v>
      </c>
      <c r="O80" s="42"/>
      <c r="P80" s="144">
        <f>P78*0.4</f>
        <v>0</v>
      </c>
      <c r="Q80" s="52">
        <f>Q37*P80</f>
        <v>0</v>
      </c>
      <c r="R80" s="42"/>
      <c r="S80" s="242">
        <f>S78*0.4</f>
        <v>7.7777777777777792E-6</v>
      </c>
      <c r="T80" s="227">
        <f>T37*S80</f>
        <v>2.9086477777777783E-2</v>
      </c>
      <c r="V80" s="144">
        <f>V78*0.4</f>
        <v>0</v>
      </c>
      <c r="W80" s="52">
        <f>W37*V80</f>
        <v>0</v>
      </c>
      <c r="Y80" s="242">
        <f>Y78*0.4</f>
        <v>0</v>
      </c>
      <c r="Z80" s="227">
        <f>Z37*Y80</f>
        <v>0</v>
      </c>
    </row>
    <row r="81" spans="1:26" ht="15.75" thickBot="1" x14ac:dyDescent="0.3">
      <c r="A81" s="42"/>
      <c r="B81" s="369" t="s">
        <v>16</v>
      </c>
      <c r="C81" s="370"/>
      <c r="D81" s="370"/>
      <c r="E81" s="146">
        <f>SUM(E75:E80)</f>
        <v>3.1640861111111113E-2</v>
      </c>
      <c r="F81" s="5">
        <f>SUM(F75:F80)</f>
        <v>100.02941831666666</v>
      </c>
      <c r="G81" s="60"/>
      <c r="H81" s="13">
        <f>SUM(H75:H80)</f>
        <v>99.394055399305557</v>
      </c>
      <c r="I81" s="41"/>
      <c r="J81" s="5">
        <f>SUM(J75:J80)</f>
        <v>107.84220671227777</v>
      </c>
      <c r="K81" s="41"/>
      <c r="L81" s="5">
        <f>SUM(L75:L80)</f>
        <v>114.1506195888611</v>
      </c>
      <c r="M81" s="41"/>
      <c r="N81" s="5">
        <f>SUM(N75:N80)</f>
        <v>119.85770796905557</v>
      </c>
      <c r="O81" s="42"/>
      <c r="P81" s="41"/>
      <c r="Q81" s="5">
        <f>SUM(Q75:Q80)</f>
        <v>0</v>
      </c>
      <c r="R81" s="42"/>
      <c r="S81" s="213"/>
      <c r="T81" s="214">
        <f>SUM(T75:T80)</f>
        <v>114.1506195888611</v>
      </c>
      <c r="V81" s="41"/>
      <c r="W81" s="5">
        <f>SUM(W75:W80)</f>
        <v>0</v>
      </c>
      <c r="Y81" s="213"/>
      <c r="Z81" s="214">
        <f>SUM(Z75:Z80)</f>
        <v>0</v>
      </c>
    </row>
    <row r="82" spans="1:26" ht="15.75" thickBot="1" x14ac:dyDescent="0.3">
      <c r="A82" s="42"/>
      <c r="B82" s="135"/>
      <c r="C82" s="135"/>
      <c r="D82" s="135"/>
      <c r="E82" s="135"/>
      <c r="F82" s="25"/>
      <c r="G82" s="42"/>
      <c r="H82" s="25"/>
      <c r="I82" s="42"/>
      <c r="J82" s="25"/>
      <c r="K82" s="42"/>
      <c r="L82" s="25"/>
      <c r="M82" s="42"/>
      <c r="N82" s="25"/>
      <c r="O82" s="42"/>
      <c r="P82" s="42"/>
      <c r="Q82" s="25"/>
      <c r="R82" s="42"/>
      <c r="S82" s="198"/>
      <c r="T82" s="237"/>
      <c r="V82" s="42"/>
      <c r="W82" s="25"/>
      <c r="Y82" s="198"/>
      <c r="Z82" s="237"/>
    </row>
    <row r="83" spans="1:26" ht="15.75" thickBot="1" x14ac:dyDescent="0.3">
      <c r="A83" s="42"/>
      <c r="B83" s="369" t="s">
        <v>105</v>
      </c>
      <c r="C83" s="370"/>
      <c r="D83" s="370"/>
      <c r="E83" s="370"/>
      <c r="F83" s="370"/>
      <c r="G83" s="370"/>
      <c r="H83" s="370"/>
      <c r="I83" s="370"/>
      <c r="J83" s="370"/>
      <c r="K83" s="370"/>
      <c r="L83" s="370"/>
      <c r="M83" s="370"/>
      <c r="N83" s="371"/>
      <c r="O83" s="42"/>
      <c r="P83" s="42"/>
      <c r="Q83" s="42"/>
      <c r="R83" s="42"/>
      <c r="S83" s="198"/>
      <c r="T83" s="198"/>
      <c r="V83" s="42"/>
      <c r="W83" s="42"/>
      <c r="Y83" s="198"/>
      <c r="Z83" s="198"/>
    </row>
    <row r="84" spans="1:26" ht="15.75" thickBot="1" x14ac:dyDescent="0.3">
      <c r="A84" s="42"/>
      <c r="B84" s="369" t="s">
        <v>106</v>
      </c>
      <c r="C84" s="370"/>
      <c r="D84" s="370"/>
      <c r="E84" s="370"/>
      <c r="F84" s="370"/>
      <c r="G84" s="370"/>
      <c r="H84" s="370"/>
      <c r="I84" s="370"/>
      <c r="J84" s="370"/>
      <c r="K84" s="370"/>
      <c r="L84" s="370"/>
      <c r="M84" s="370"/>
      <c r="N84" s="371"/>
      <c r="O84" s="42"/>
      <c r="P84" s="42"/>
      <c r="Q84" s="42"/>
      <c r="R84" s="42"/>
      <c r="S84" s="198"/>
      <c r="T84" s="198"/>
      <c r="V84" s="42"/>
      <c r="W84" s="42"/>
      <c r="Y84" s="198"/>
      <c r="Z84" s="198"/>
    </row>
    <row r="85" spans="1:26" ht="15.75" thickBot="1" x14ac:dyDescent="0.25">
      <c r="A85" s="42"/>
      <c r="B85" s="139" t="s">
        <v>48</v>
      </c>
      <c r="C85" s="441" t="s">
        <v>46</v>
      </c>
      <c r="D85" s="447"/>
      <c r="E85" s="28" t="s">
        <v>13</v>
      </c>
      <c r="F85" s="30" t="s">
        <v>35</v>
      </c>
      <c r="G85" s="95" t="s">
        <v>13</v>
      </c>
      <c r="H85" s="95" t="s">
        <v>35</v>
      </c>
      <c r="I85" s="95" t="s">
        <v>13</v>
      </c>
      <c r="J85" s="31" t="s">
        <v>35</v>
      </c>
      <c r="K85" s="95" t="s">
        <v>13</v>
      </c>
      <c r="L85" s="31" t="s">
        <v>35</v>
      </c>
      <c r="M85" s="95" t="s">
        <v>13</v>
      </c>
      <c r="N85" s="31" t="s">
        <v>35</v>
      </c>
      <c r="O85" s="42"/>
      <c r="P85" s="95" t="s">
        <v>13</v>
      </c>
      <c r="Q85" s="31" t="s">
        <v>35</v>
      </c>
      <c r="R85" s="42"/>
      <c r="S85" s="243" t="s">
        <v>13</v>
      </c>
      <c r="T85" s="244" t="s">
        <v>35</v>
      </c>
      <c r="V85" s="95" t="s">
        <v>13</v>
      </c>
      <c r="W85" s="31" t="s">
        <v>35</v>
      </c>
      <c r="Y85" s="243" t="s">
        <v>13</v>
      </c>
      <c r="Z85" s="244" t="s">
        <v>35</v>
      </c>
    </row>
    <row r="86" spans="1:26" ht="13.5" thickBot="1" x14ac:dyDescent="0.25">
      <c r="A86" s="42"/>
      <c r="B86" s="70" t="s">
        <v>1</v>
      </c>
      <c r="C86" s="432" t="s">
        <v>164</v>
      </c>
      <c r="D86" s="445"/>
      <c r="E86" s="88">
        <f>ROUND((1/12+1/12*1/3)/12,4)</f>
        <v>9.2999999999999992E-3</v>
      </c>
      <c r="F86" s="46">
        <f>$F$37*E86</f>
        <v>29.401019999999999</v>
      </c>
      <c r="G86" s="88">
        <f>ROUND((1/12+1/12*1/3)/12,4)</f>
        <v>9.2999999999999992E-3</v>
      </c>
      <c r="H86" s="61">
        <f>$H$37*G86</f>
        <v>30.283124999999998</v>
      </c>
      <c r="I86" s="88">
        <f>ROUND((1/12+1/12*1/3)/12,4)</f>
        <v>9.2999999999999992E-3</v>
      </c>
      <c r="J86" s="46">
        <f>J37*I86</f>
        <v>32.857085999999995</v>
      </c>
      <c r="K86" s="88">
        <f>ROUND((1/12+1/12*1/3)/12,4)</f>
        <v>9.2999999999999992E-3</v>
      </c>
      <c r="L86" s="46">
        <f>L37*K86</f>
        <v>34.779116999999999</v>
      </c>
      <c r="M86" s="88">
        <f>ROUND((1/12+1/12*1/3)/12,4)</f>
        <v>9.2999999999999992E-3</v>
      </c>
      <c r="N86" s="46">
        <f>N37*M86</f>
        <v>36.517937999999994</v>
      </c>
      <c r="O86" s="42"/>
      <c r="P86" s="88">
        <v>0</v>
      </c>
      <c r="Q86" s="46">
        <f>Q37*P86</f>
        <v>0</v>
      </c>
      <c r="R86" s="42"/>
      <c r="S86" s="216">
        <v>0</v>
      </c>
      <c r="T86" s="223">
        <f>T37*S86</f>
        <v>0</v>
      </c>
      <c r="V86" s="88">
        <f>ROUND((1/12+1/12*1/3)/12,4)</f>
        <v>9.2999999999999992E-3</v>
      </c>
      <c r="W86" s="46">
        <f>N37*V86</f>
        <v>36.517937999999994</v>
      </c>
      <c r="Y86" s="216">
        <f>ROUND((1/12+1/12*1/3)/12,4)</f>
        <v>9.2999999999999992E-3</v>
      </c>
      <c r="Z86" s="223">
        <f>J37*Y86</f>
        <v>32.857085999999995</v>
      </c>
    </row>
    <row r="87" spans="1:26" x14ac:dyDescent="0.2">
      <c r="A87" s="42"/>
      <c r="B87" s="71" t="s">
        <v>2</v>
      </c>
      <c r="C87" s="409" t="s">
        <v>165</v>
      </c>
      <c r="D87" s="415"/>
      <c r="E87" s="123">
        <f>((2.96/30)/12)*3%</f>
        <v>2.4666666666666668E-4</v>
      </c>
      <c r="F87" s="82">
        <f>$F$37*E87</f>
        <v>0.77981200000000006</v>
      </c>
      <c r="G87" s="123">
        <f>((2.96/30)/12)*3%</f>
        <v>2.4666666666666668E-4</v>
      </c>
      <c r="H87" s="52">
        <f>$H$37*G87</f>
        <v>0.80320833333333341</v>
      </c>
      <c r="I87" s="123">
        <f>((2.96/30)/12)*3%</f>
        <v>2.4666666666666668E-4</v>
      </c>
      <c r="J87" s="52">
        <f>J37*I87</f>
        <v>0.87147826666666672</v>
      </c>
      <c r="K87" s="123">
        <f>((2.96/30)/12)*3%</f>
        <v>2.4666666666666668E-4</v>
      </c>
      <c r="L87" s="52">
        <f>L37*K87</f>
        <v>0.92245686666666671</v>
      </c>
      <c r="M87" s="123">
        <f>((2.96/30)/12)*3%</f>
        <v>2.4666666666666668E-4</v>
      </c>
      <c r="N87" s="52">
        <f>N37*M87</f>
        <v>0.96857613333333337</v>
      </c>
      <c r="O87" s="42"/>
      <c r="P87" s="123">
        <v>0</v>
      </c>
      <c r="Q87" s="52">
        <f>Q37*P87</f>
        <v>0</v>
      </c>
      <c r="R87" s="42"/>
      <c r="S87" s="216">
        <v>0</v>
      </c>
      <c r="T87" s="227">
        <f>(T37+T71+T81)/30</f>
        <v>195.24971298629541</v>
      </c>
      <c r="V87" s="123">
        <v>0</v>
      </c>
      <c r="W87" s="52">
        <f>W37*V87</f>
        <v>0</v>
      </c>
      <c r="Y87" s="240">
        <v>0</v>
      </c>
      <c r="Z87" s="227">
        <f>Z37*Y87</f>
        <v>0</v>
      </c>
    </row>
    <row r="88" spans="1:26" x14ac:dyDescent="0.2">
      <c r="A88" s="42"/>
      <c r="B88" s="71" t="s">
        <v>4</v>
      </c>
      <c r="C88" s="409" t="s">
        <v>166</v>
      </c>
      <c r="D88" s="415"/>
      <c r="E88" s="51">
        <f>ROUND(5/30/12*1.5%,4)</f>
        <v>2.0000000000000001E-4</v>
      </c>
      <c r="F88" s="52">
        <f>$F$37*E88</f>
        <v>0.63228000000000006</v>
      </c>
      <c r="G88" s="51">
        <f>ROUND(5/30/12*1.5%,4)</f>
        <v>2.0000000000000001E-4</v>
      </c>
      <c r="H88" s="52">
        <f>$H$37*G88</f>
        <v>0.65125</v>
      </c>
      <c r="I88" s="51">
        <f>ROUND(5/30/12*1.5%,4)</f>
        <v>2.0000000000000001E-4</v>
      </c>
      <c r="J88" s="52">
        <f>J37*I88</f>
        <v>0.70660400000000001</v>
      </c>
      <c r="K88" s="51">
        <f>ROUND(5/30/12*1.5%,4)</f>
        <v>2.0000000000000001E-4</v>
      </c>
      <c r="L88" s="52">
        <f>L37*K88</f>
        <v>0.74793799999999999</v>
      </c>
      <c r="M88" s="51">
        <f>ROUND(5/30/12*1.5%,4)</f>
        <v>2.0000000000000001E-4</v>
      </c>
      <c r="N88" s="52">
        <f>N37*M88</f>
        <v>0.78533200000000003</v>
      </c>
      <c r="O88" s="42"/>
      <c r="P88" s="51">
        <v>0</v>
      </c>
      <c r="Q88" s="52">
        <f>Q37*P88</f>
        <v>0</v>
      </c>
      <c r="R88" s="42"/>
      <c r="S88" s="224">
        <v>0</v>
      </c>
      <c r="T88" s="227">
        <f>T37*S88</f>
        <v>0</v>
      </c>
      <c r="V88" s="51">
        <v>0</v>
      </c>
      <c r="W88" s="52">
        <f>W37*V88</f>
        <v>0</v>
      </c>
      <c r="Y88" s="224">
        <v>0</v>
      </c>
      <c r="Z88" s="227">
        <f>Z37*Y88</f>
        <v>0</v>
      </c>
    </row>
    <row r="89" spans="1:26" x14ac:dyDescent="0.2">
      <c r="A89" s="42"/>
      <c r="B89" s="71" t="s">
        <v>5</v>
      </c>
      <c r="C89" s="454" t="s">
        <v>167</v>
      </c>
      <c r="D89" s="455"/>
      <c r="E89" s="34">
        <f>ROUND(15/30/12*0.01,4)</f>
        <v>4.0000000000000002E-4</v>
      </c>
      <c r="F89" s="84">
        <f>$F$37*E89</f>
        <v>1.2645600000000001</v>
      </c>
      <c r="G89" s="34">
        <f>ROUND(15/30/12*0.01,4)</f>
        <v>4.0000000000000002E-4</v>
      </c>
      <c r="H89" s="52">
        <f>$H$37*G89</f>
        <v>1.3025</v>
      </c>
      <c r="I89" s="34">
        <f>ROUND(15/30/12*0.01,4)</f>
        <v>4.0000000000000002E-4</v>
      </c>
      <c r="J89" s="52">
        <f>J37*I89</f>
        <v>1.413208</v>
      </c>
      <c r="K89" s="34">
        <f>ROUND(15/30/12*0.01,4)</f>
        <v>4.0000000000000002E-4</v>
      </c>
      <c r="L89" s="52">
        <f>L37*K89</f>
        <v>1.495876</v>
      </c>
      <c r="M89" s="34">
        <f>ROUND(15/30/12*0.01,4)</f>
        <v>4.0000000000000002E-4</v>
      </c>
      <c r="N89" s="52">
        <f>N37*M89</f>
        <v>1.5706640000000001</v>
      </c>
      <c r="O89" s="42"/>
      <c r="P89" s="34">
        <v>0</v>
      </c>
      <c r="Q89" s="52">
        <f>Q37*P89</f>
        <v>0</v>
      </c>
      <c r="R89" s="42"/>
      <c r="S89" s="245">
        <v>0</v>
      </c>
      <c r="T89" s="227">
        <f>T37*S89</f>
        <v>0</v>
      </c>
      <c r="V89" s="34">
        <v>0</v>
      </c>
      <c r="W89" s="52">
        <f>W37*V89</f>
        <v>0</v>
      </c>
      <c r="Y89" s="245">
        <v>0</v>
      </c>
      <c r="Z89" s="227">
        <f>Z37*Y89</f>
        <v>0</v>
      </c>
    </row>
    <row r="90" spans="1:26" x14ac:dyDescent="0.2">
      <c r="A90" s="42"/>
      <c r="B90" s="71" t="s">
        <v>6</v>
      </c>
      <c r="C90" s="409" t="s">
        <v>168</v>
      </c>
      <c r="D90" s="415"/>
      <c r="E90" s="51">
        <f>ROUND(((1/12*4)+(1.33/12*4))/12*0.0025,4)</f>
        <v>2.0000000000000001E-4</v>
      </c>
      <c r="F90" s="52">
        <f>$F$37*E90</f>
        <v>0.63228000000000006</v>
      </c>
      <c r="G90" s="51">
        <f>ROUND(((1/12*4)+(1.33/12*4))/12*0.0025,4)</f>
        <v>2.0000000000000001E-4</v>
      </c>
      <c r="H90" s="52">
        <f>$H$37*G90</f>
        <v>0.65125</v>
      </c>
      <c r="I90" s="51">
        <f>ROUND(((1/12*4)+(1.33/12*4))/12*0.0025,4)</f>
        <v>2.0000000000000001E-4</v>
      </c>
      <c r="J90" s="52">
        <f>J37*I90</f>
        <v>0.70660400000000001</v>
      </c>
      <c r="K90" s="51">
        <f>ROUND(((1/12*4)+(1.33/12*4))/12*0.0025,4)</f>
        <v>2.0000000000000001E-4</v>
      </c>
      <c r="L90" s="52">
        <f>L37*K90</f>
        <v>0.74793799999999999</v>
      </c>
      <c r="M90" s="51">
        <f>ROUND(((1/12*4)+(1.33/12*4))/12*0.0025,4)</f>
        <v>2.0000000000000001E-4</v>
      </c>
      <c r="N90" s="52">
        <f>N37*M90</f>
        <v>0.78533200000000003</v>
      </c>
      <c r="O90" s="42"/>
      <c r="P90" s="51">
        <v>0</v>
      </c>
      <c r="Q90" s="52">
        <f>Q37*P90</f>
        <v>0</v>
      </c>
      <c r="R90" s="42"/>
      <c r="S90" s="224">
        <v>0</v>
      </c>
      <c r="T90" s="227">
        <f>T37*S90</f>
        <v>0</v>
      </c>
      <c r="V90" s="51">
        <v>0</v>
      </c>
      <c r="W90" s="52">
        <f>W37*V90</f>
        <v>0</v>
      </c>
      <c r="Y90" s="224">
        <v>0</v>
      </c>
      <c r="Z90" s="227">
        <f>Z37*Y90</f>
        <v>0</v>
      </c>
    </row>
    <row r="91" spans="1:26" ht="13.5" thickBot="1" x14ac:dyDescent="0.25">
      <c r="A91" s="42"/>
      <c r="B91" s="80" t="s">
        <v>7</v>
      </c>
      <c r="C91" s="378" t="s">
        <v>169</v>
      </c>
      <c r="D91" s="446"/>
      <c r="E91" s="53"/>
      <c r="F91" s="54">
        <f>ROUND($F$37*E91,2)</f>
        <v>0</v>
      </c>
      <c r="G91" s="53"/>
      <c r="H91" s="81">
        <f>ROUND($H$37*G91,2)</f>
        <v>0</v>
      </c>
      <c r="I91" s="53"/>
      <c r="J91" s="52">
        <f>ROUND(J37*I91,2)</f>
        <v>0</v>
      </c>
      <c r="K91" s="53"/>
      <c r="L91" s="52">
        <f>ROUND(L37*K91,2)</f>
        <v>0</v>
      </c>
      <c r="M91" s="53"/>
      <c r="N91" s="52">
        <f>ROUND(N37*M91,2)</f>
        <v>0</v>
      </c>
      <c r="O91" s="42"/>
      <c r="P91" s="53"/>
      <c r="Q91" s="52">
        <f>ROUND(Q37*P91,2)</f>
        <v>0</v>
      </c>
      <c r="R91" s="42"/>
      <c r="S91" s="228"/>
      <c r="T91" s="227">
        <f>ROUND(T37*S91,2)</f>
        <v>0</v>
      </c>
      <c r="V91" s="53"/>
      <c r="W91" s="52">
        <f>ROUND($N$37*V91,2)</f>
        <v>0</v>
      </c>
      <c r="Y91" s="228"/>
      <c r="Z91" s="227">
        <f>ROUND($N$37*Y91,2)</f>
        <v>0</v>
      </c>
    </row>
    <row r="92" spans="1:26" ht="15.75" thickBot="1" x14ac:dyDescent="0.3">
      <c r="A92" s="42"/>
      <c r="B92" s="369" t="s">
        <v>16</v>
      </c>
      <c r="C92" s="370"/>
      <c r="D92" s="370"/>
      <c r="E92" s="146">
        <f>SUM(E86:E91)</f>
        <v>1.0346666666666665E-2</v>
      </c>
      <c r="F92" s="5">
        <f>SUM(F86:F91)</f>
        <v>32.709952000000001</v>
      </c>
      <c r="G92" s="41"/>
      <c r="H92" s="5">
        <f>SUM(H86:H91)</f>
        <v>33.691333333333333</v>
      </c>
      <c r="I92" s="41"/>
      <c r="J92" s="5">
        <f>SUM(J86:J91)</f>
        <v>36.554980266666654</v>
      </c>
      <c r="K92" s="41"/>
      <c r="L92" s="5">
        <f>SUM(L86:L91)</f>
        <v>38.693325866666662</v>
      </c>
      <c r="M92" s="41"/>
      <c r="N92" s="5">
        <f>SUM(N86:N91)</f>
        <v>40.627842133333324</v>
      </c>
      <c r="O92" s="42"/>
      <c r="P92" s="41"/>
      <c r="Q92" s="5">
        <f>SUM(Q86:Q91)</f>
        <v>0</v>
      </c>
      <c r="R92" s="42"/>
      <c r="S92" s="213"/>
      <c r="T92" s="214">
        <f>SUM(T86:T91)</f>
        <v>195.24971298629541</v>
      </c>
      <c r="V92" s="41"/>
      <c r="W92" s="5">
        <f>SUM(W86:W91)</f>
        <v>36.517937999999994</v>
      </c>
      <c r="Y92" s="213"/>
      <c r="Z92" s="214">
        <f>SUM(Z86:Z91)</f>
        <v>32.857085999999995</v>
      </c>
    </row>
    <row r="93" spans="1:26" ht="15.75" thickBot="1" x14ac:dyDescent="0.3">
      <c r="A93" s="42"/>
      <c r="B93" s="135"/>
      <c r="C93" s="135"/>
      <c r="D93" s="135"/>
      <c r="E93" s="87"/>
      <c r="F93" s="25"/>
      <c r="G93" s="42"/>
      <c r="H93" s="25"/>
      <c r="I93" s="42"/>
      <c r="J93" s="25"/>
      <c r="K93" s="42"/>
      <c r="L93" s="25"/>
      <c r="M93" s="42"/>
      <c r="N93" s="25"/>
      <c r="O93" s="42"/>
      <c r="P93" s="42"/>
      <c r="Q93" s="25"/>
      <c r="R93" s="42"/>
      <c r="S93" s="198"/>
      <c r="T93" s="237"/>
      <c r="V93" s="42"/>
      <c r="W93" s="25"/>
      <c r="Y93" s="198"/>
      <c r="Z93" s="237"/>
    </row>
    <row r="94" spans="1:26" ht="15.75" thickBot="1" x14ac:dyDescent="0.3">
      <c r="A94" s="42"/>
      <c r="B94" s="369" t="s">
        <v>107</v>
      </c>
      <c r="C94" s="370"/>
      <c r="D94" s="370"/>
      <c r="E94" s="370"/>
      <c r="F94" s="370"/>
      <c r="G94" s="370"/>
      <c r="H94" s="370"/>
      <c r="I94" s="370"/>
      <c r="J94" s="370"/>
      <c r="K94" s="370"/>
      <c r="L94" s="370"/>
      <c r="M94" s="370"/>
      <c r="N94" s="371"/>
      <c r="O94" s="42"/>
      <c r="P94" s="42"/>
      <c r="Q94" s="42"/>
      <c r="R94" s="42"/>
      <c r="S94" s="198"/>
      <c r="T94" s="198"/>
      <c r="V94" s="42"/>
      <c r="W94" s="42"/>
      <c r="Y94" s="198"/>
      <c r="Z94" s="198"/>
    </row>
    <row r="95" spans="1:26" ht="15.75" thickBot="1" x14ac:dyDescent="0.3">
      <c r="A95" s="42"/>
      <c r="B95" s="65" t="s">
        <v>49</v>
      </c>
      <c r="C95" s="369" t="s">
        <v>108</v>
      </c>
      <c r="D95" s="371"/>
      <c r="E95" s="134" t="s">
        <v>13</v>
      </c>
      <c r="F95" s="133" t="s">
        <v>35</v>
      </c>
      <c r="G95" s="4" t="s">
        <v>13</v>
      </c>
      <c r="H95" s="4" t="s">
        <v>35</v>
      </c>
      <c r="I95" s="4" t="s">
        <v>13</v>
      </c>
      <c r="J95" s="138" t="s">
        <v>35</v>
      </c>
      <c r="K95" s="4" t="s">
        <v>13</v>
      </c>
      <c r="L95" s="138" t="s">
        <v>35</v>
      </c>
      <c r="M95" s="4" t="s">
        <v>13</v>
      </c>
      <c r="N95" s="138" t="s">
        <v>35</v>
      </c>
      <c r="O95" s="42"/>
      <c r="P95" s="4" t="s">
        <v>13</v>
      </c>
      <c r="Q95" s="138" t="s">
        <v>35</v>
      </c>
      <c r="R95" s="42"/>
      <c r="S95" s="234" t="s">
        <v>13</v>
      </c>
      <c r="T95" s="238" t="s">
        <v>35</v>
      </c>
      <c r="V95" s="4" t="s">
        <v>13</v>
      </c>
      <c r="W95" s="138" t="s">
        <v>35</v>
      </c>
      <c r="Y95" s="234" t="s">
        <v>13</v>
      </c>
      <c r="Z95" s="238" t="s">
        <v>35</v>
      </c>
    </row>
    <row r="96" spans="1:26" ht="13.5" thickBot="1" x14ac:dyDescent="0.25">
      <c r="A96" s="42"/>
      <c r="B96" s="70" t="s">
        <v>1</v>
      </c>
      <c r="C96" s="432" t="s">
        <v>109</v>
      </c>
      <c r="D96" s="445"/>
      <c r="E96" s="49"/>
      <c r="F96" s="50">
        <f>ROUND($F$37*E96,2)</f>
        <v>0</v>
      </c>
      <c r="G96" s="49"/>
      <c r="H96" s="101">
        <f>ROUND($H$37*G96,2)</f>
        <v>0</v>
      </c>
      <c r="I96" s="57"/>
      <c r="J96" s="50">
        <f>ROUND(J37*I96,2)</f>
        <v>0</v>
      </c>
      <c r="K96" s="57"/>
      <c r="L96" s="50">
        <f>ROUND(L37*K96,2)</f>
        <v>0</v>
      </c>
      <c r="M96" s="57"/>
      <c r="N96" s="50">
        <f>ROUND(N37*M96,2)</f>
        <v>0</v>
      </c>
      <c r="O96" s="42"/>
      <c r="P96" s="57"/>
      <c r="Q96" s="50">
        <f>ROUND(Q37*P96,2)</f>
        <v>0</v>
      </c>
      <c r="R96" s="42"/>
      <c r="S96" s="247"/>
      <c r="T96" s="248">
        <f>ROUND(T37*S96,2)</f>
        <v>0</v>
      </c>
      <c r="V96" s="57"/>
      <c r="W96" s="50">
        <f>ROUND(W37*V96,2)</f>
        <v>0</v>
      </c>
      <c r="Y96" s="247"/>
      <c r="Z96" s="248">
        <f>ROUND(Z37*Y96,2)</f>
        <v>0</v>
      </c>
    </row>
    <row r="97" spans="1:26" ht="13.5" customHeight="1" thickBot="1" x14ac:dyDescent="0.3">
      <c r="A97" s="42"/>
      <c r="B97" s="369" t="s">
        <v>16</v>
      </c>
      <c r="C97" s="370"/>
      <c r="D97" s="370"/>
      <c r="E97" s="371"/>
      <c r="F97" s="5">
        <f>F96</f>
        <v>0</v>
      </c>
      <c r="G97" s="41"/>
      <c r="H97" s="12">
        <f>H96</f>
        <v>0</v>
      </c>
      <c r="I97" s="41"/>
      <c r="J97" s="5">
        <f>J96</f>
        <v>0</v>
      </c>
      <c r="K97" s="41"/>
      <c r="L97" s="5">
        <f>L96</f>
        <v>0</v>
      </c>
      <c r="M97" s="41"/>
      <c r="N97" s="5">
        <f>N96</f>
        <v>0</v>
      </c>
      <c r="O97" s="42"/>
      <c r="P97" s="41"/>
      <c r="Q97" s="5">
        <f>Q96</f>
        <v>0</v>
      </c>
      <c r="R97" s="42"/>
      <c r="S97" s="213"/>
      <c r="T97" s="214">
        <f>T96</f>
        <v>0</v>
      </c>
      <c r="V97" s="41"/>
      <c r="W97" s="5">
        <f>W96</f>
        <v>0</v>
      </c>
      <c r="Y97" s="213"/>
      <c r="Z97" s="214">
        <f>Z96</f>
        <v>0</v>
      </c>
    </row>
    <row r="98" spans="1:26" ht="13.5" customHeight="1" thickBot="1" x14ac:dyDescent="0.3">
      <c r="A98" s="42"/>
      <c r="B98" s="135"/>
      <c r="C98" s="135"/>
      <c r="D98" s="135"/>
      <c r="E98" s="135"/>
      <c r="F98" s="25"/>
      <c r="G98" s="42"/>
      <c r="H98" s="25"/>
      <c r="I98" s="42"/>
      <c r="J98" s="25"/>
      <c r="K98" s="42"/>
      <c r="L98" s="25"/>
      <c r="M98" s="42"/>
      <c r="N98" s="25"/>
      <c r="O98" s="42"/>
      <c r="P98" s="42"/>
      <c r="Q98" s="25"/>
      <c r="R98" s="42"/>
      <c r="S98" s="198"/>
      <c r="T98" s="237"/>
      <c r="V98" s="42"/>
      <c r="W98" s="25"/>
      <c r="Y98" s="198"/>
      <c r="Z98" s="237"/>
    </row>
    <row r="99" spans="1:26" ht="15.75" thickBot="1" x14ac:dyDescent="0.3">
      <c r="A99" s="42"/>
      <c r="B99" s="369" t="s">
        <v>110</v>
      </c>
      <c r="C99" s="370"/>
      <c r="D99" s="370"/>
      <c r="E99" s="370"/>
      <c r="F99" s="370"/>
      <c r="G99" s="370"/>
      <c r="H99" s="370"/>
      <c r="I99" s="370"/>
      <c r="J99" s="370"/>
      <c r="K99" s="370"/>
      <c r="L99" s="370"/>
      <c r="M99" s="370"/>
      <c r="N99" s="371"/>
      <c r="O99" s="42"/>
      <c r="P99" s="42"/>
      <c r="Q99" s="42"/>
      <c r="R99" s="42"/>
      <c r="S99" s="198"/>
      <c r="T99" s="198"/>
      <c r="V99" s="42"/>
      <c r="W99" s="42"/>
      <c r="Y99" s="198"/>
      <c r="Z99" s="198"/>
    </row>
    <row r="100" spans="1:26" ht="15.75" thickBot="1" x14ac:dyDescent="0.3">
      <c r="A100" s="42"/>
      <c r="B100" s="139">
        <v>4</v>
      </c>
      <c r="C100" s="370" t="s">
        <v>47</v>
      </c>
      <c r="D100" s="371"/>
      <c r="E100" s="134" t="s">
        <v>13</v>
      </c>
      <c r="F100" s="136" t="s">
        <v>35</v>
      </c>
      <c r="G100" s="4" t="s">
        <v>13</v>
      </c>
      <c r="H100" s="4" t="s">
        <v>35</v>
      </c>
      <c r="I100" s="4" t="s">
        <v>13</v>
      </c>
      <c r="J100" s="138" t="s">
        <v>35</v>
      </c>
      <c r="K100" s="4" t="s">
        <v>13</v>
      </c>
      <c r="L100" s="138" t="s">
        <v>35</v>
      </c>
      <c r="M100" s="4" t="s">
        <v>13</v>
      </c>
      <c r="N100" s="138" t="s">
        <v>35</v>
      </c>
      <c r="O100" s="42"/>
      <c r="P100" s="4" t="s">
        <v>13</v>
      </c>
      <c r="Q100" s="138" t="s">
        <v>35</v>
      </c>
      <c r="R100" s="42"/>
      <c r="S100" s="234" t="s">
        <v>13</v>
      </c>
      <c r="T100" s="238" t="s">
        <v>35</v>
      </c>
      <c r="V100" s="4" t="s">
        <v>13</v>
      </c>
      <c r="W100" s="138" t="s">
        <v>35</v>
      </c>
      <c r="Y100" s="234" t="s">
        <v>13</v>
      </c>
      <c r="Z100" s="238" t="s">
        <v>35</v>
      </c>
    </row>
    <row r="101" spans="1:26" x14ac:dyDescent="0.2">
      <c r="A101" s="42"/>
      <c r="B101" s="70" t="s">
        <v>48</v>
      </c>
      <c r="C101" s="432" t="s">
        <v>46</v>
      </c>
      <c r="D101" s="445"/>
      <c r="E101" s="145">
        <f>E92</f>
        <v>1.0346666666666665E-2</v>
      </c>
      <c r="F101" s="59">
        <f>F92</f>
        <v>32.709952000000001</v>
      </c>
      <c r="G101" s="49"/>
      <c r="H101" s="59">
        <f>H92</f>
        <v>33.691333333333333</v>
      </c>
      <c r="I101" s="49"/>
      <c r="J101" s="46">
        <f>J92</f>
        <v>36.554980266666654</v>
      </c>
      <c r="K101" s="49"/>
      <c r="L101" s="46">
        <f>L92</f>
        <v>38.693325866666662</v>
      </c>
      <c r="M101" s="49"/>
      <c r="N101" s="46">
        <f>N92</f>
        <v>40.627842133333324</v>
      </c>
      <c r="O101" s="42"/>
      <c r="P101" s="49"/>
      <c r="Q101" s="46">
        <f>Q92</f>
        <v>0</v>
      </c>
      <c r="R101" s="42"/>
      <c r="S101" s="222"/>
      <c r="T101" s="223">
        <f>T92</f>
        <v>195.24971298629541</v>
      </c>
      <c r="V101" s="49"/>
      <c r="W101" s="46">
        <f>W92</f>
        <v>36.517937999999994</v>
      </c>
      <c r="Y101" s="222"/>
      <c r="Z101" s="223">
        <f>Z92</f>
        <v>32.857085999999995</v>
      </c>
    </row>
    <row r="102" spans="1:26" ht="13.5" thickBot="1" x14ac:dyDescent="0.25">
      <c r="A102" s="42"/>
      <c r="B102" s="71" t="s">
        <v>49</v>
      </c>
      <c r="C102" s="409" t="s">
        <v>108</v>
      </c>
      <c r="D102" s="415"/>
      <c r="E102" s="51"/>
      <c r="F102" s="59">
        <f>F97</f>
        <v>0</v>
      </c>
      <c r="G102" s="51"/>
      <c r="H102" s="59">
        <f>H97</f>
        <v>0</v>
      </c>
      <c r="I102" s="51"/>
      <c r="J102" s="58">
        <f>J97</f>
        <v>0</v>
      </c>
      <c r="K102" s="51"/>
      <c r="L102" s="58">
        <f>L97</f>
        <v>0</v>
      </c>
      <c r="M102" s="51"/>
      <c r="N102" s="58">
        <f>N97</f>
        <v>0</v>
      </c>
      <c r="O102" s="42"/>
      <c r="P102" s="51"/>
      <c r="Q102" s="58">
        <f>Q97</f>
        <v>0</v>
      </c>
      <c r="R102" s="42"/>
      <c r="S102" s="224"/>
      <c r="T102" s="246">
        <f>T97</f>
        <v>0</v>
      </c>
      <c r="V102" s="51"/>
      <c r="W102" s="58">
        <f>W97</f>
        <v>0</v>
      </c>
      <c r="Y102" s="224"/>
      <c r="Z102" s="246">
        <f>Z97</f>
        <v>0</v>
      </c>
    </row>
    <row r="103" spans="1:26" ht="15.75" thickBot="1" x14ac:dyDescent="0.3">
      <c r="A103" s="42"/>
      <c r="B103" s="369" t="s">
        <v>16</v>
      </c>
      <c r="C103" s="370"/>
      <c r="D103" s="370"/>
      <c r="E103" s="100"/>
      <c r="F103" s="5">
        <f>SUM(F101:F102)</f>
        <v>32.709952000000001</v>
      </c>
      <c r="G103" s="60"/>
      <c r="H103" s="13">
        <f>SUM(H101:H102)</f>
        <v>33.691333333333333</v>
      </c>
      <c r="I103" s="41"/>
      <c r="J103" s="5">
        <f>SUM(J101:J102)</f>
        <v>36.554980266666654</v>
      </c>
      <c r="K103" s="41"/>
      <c r="L103" s="5">
        <f>SUM(L101:L102)</f>
        <v>38.693325866666662</v>
      </c>
      <c r="M103" s="41"/>
      <c r="N103" s="5">
        <f>SUM(N101:N102)</f>
        <v>40.627842133333324</v>
      </c>
      <c r="O103" s="42"/>
      <c r="P103" s="41"/>
      <c r="Q103" s="5">
        <f>SUM(Q101:Q102)</f>
        <v>0</v>
      </c>
      <c r="R103" s="42"/>
      <c r="S103" s="213"/>
      <c r="T103" s="214">
        <f>SUM(T101:T102)</f>
        <v>195.24971298629541</v>
      </c>
      <c r="V103" s="41"/>
      <c r="W103" s="5">
        <f>SUM(W101:W102)</f>
        <v>36.517937999999994</v>
      </c>
      <c r="Y103" s="213"/>
      <c r="Z103" s="214">
        <f>SUM(Z101:Z102)</f>
        <v>32.857085999999995</v>
      </c>
    </row>
    <row r="104" spans="1:26" ht="15.75" thickBot="1" x14ac:dyDescent="0.3">
      <c r="A104" s="42"/>
      <c r="B104" s="42"/>
      <c r="C104" s="87"/>
      <c r="D104" s="87"/>
      <c r="E104" s="87"/>
      <c r="F104" s="25"/>
      <c r="G104" s="42"/>
      <c r="H104" s="25"/>
      <c r="I104" s="42"/>
      <c r="J104" s="25"/>
      <c r="K104" s="42"/>
      <c r="L104" s="25"/>
      <c r="M104" s="42"/>
      <c r="N104" s="25"/>
      <c r="O104" s="42"/>
      <c r="P104" s="42"/>
      <c r="Q104" s="25"/>
      <c r="R104" s="42"/>
      <c r="S104" s="198"/>
      <c r="T104" s="237"/>
      <c r="V104" s="42"/>
      <c r="W104" s="25"/>
      <c r="Y104" s="198"/>
      <c r="Z104" s="237"/>
    </row>
    <row r="105" spans="1:26" ht="15.75" thickBot="1" x14ac:dyDescent="0.3">
      <c r="A105" s="42"/>
      <c r="B105" s="369" t="s">
        <v>111</v>
      </c>
      <c r="C105" s="370"/>
      <c r="D105" s="370"/>
      <c r="E105" s="370"/>
      <c r="F105" s="370"/>
      <c r="G105" s="370"/>
      <c r="H105" s="370"/>
      <c r="I105" s="370"/>
      <c r="J105" s="370"/>
      <c r="K105" s="370"/>
      <c r="L105" s="370"/>
      <c r="M105" s="370"/>
      <c r="N105" s="371"/>
      <c r="O105" s="42"/>
      <c r="P105" s="42"/>
      <c r="Q105" s="42"/>
      <c r="R105" s="42"/>
      <c r="S105" s="198"/>
      <c r="T105" s="198"/>
      <c r="V105" s="42"/>
      <c r="W105" s="42"/>
      <c r="Y105" s="198"/>
      <c r="Z105" s="198"/>
    </row>
    <row r="106" spans="1:26" ht="15.75" thickBot="1" x14ac:dyDescent="0.3">
      <c r="A106" s="42"/>
      <c r="B106" s="65">
        <v>5</v>
      </c>
      <c r="C106" s="456" t="s">
        <v>15</v>
      </c>
      <c r="D106" s="457"/>
      <c r="E106" s="28" t="s">
        <v>13</v>
      </c>
      <c r="F106" s="30" t="s">
        <v>35</v>
      </c>
      <c r="G106" s="95" t="s">
        <v>13</v>
      </c>
      <c r="H106" s="95" t="s">
        <v>35</v>
      </c>
      <c r="I106" s="95" t="s">
        <v>13</v>
      </c>
      <c r="J106" s="31" t="s">
        <v>35</v>
      </c>
      <c r="K106" s="95" t="s">
        <v>13</v>
      </c>
      <c r="L106" s="31" t="s">
        <v>35</v>
      </c>
      <c r="M106" s="95" t="s">
        <v>13</v>
      </c>
      <c r="N106" s="31" t="s">
        <v>35</v>
      </c>
      <c r="O106" s="42"/>
      <c r="P106" s="95" t="s">
        <v>13</v>
      </c>
      <c r="Q106" s="31" t="s">
        <v>35</v>
      </c>
      <c r="R106" s="42"/>
      <c r="S106" s="243" t="s">
        <v>13</v>
      </c>
      <c r="T106" s="244" t="s">
        <v>35</v>
      </c>
      <c r="V106" s="95" t="s">
        <v>13</v>
      </c>
      <c r="W106" s="31" t="s">
        <v>35</v>
      </c>
      <c r="Y106" s="243" t="s">
        <v>13</v>
      </c>
      <c r="Z106" s="244" t="s">
        <v>35</v>
      </c>
    </row>
    <row r="107" spans="1:26" x14ac:dyDescent="0.2">
      <c r="A107" s="42"/>
      <c r="B107" s="70" t="s">
        <v>1</v>
      </c>
      <c r="C107" s="432" t="s">
        <v>38</v>
      </c>
      <c r="D107" s="445"/>
      <c r="E107" s="49"/>
      <c r="F107" s="46">
        <f>Uniforme!$E$12</f>
        <v>48.333333333333336</v>
      </c>
      <c r="G107" s="49"/>
      <c r="H107" s="46">
        <f>Uniforme!$E$12</f>
        <v>48.333333333333336</v>
      </c>
      <c r="I107" s="49"/>
      <c r="J107" s="46">
        <f>Uniforme!$E$12</f>
        <v>48.333333333333336</v>
      </c>
      <c r="K107" s="49"/>
      <c r="L107" s="46">
        <f>Uniforme!$E$12</f>
        <v>48.333333333333336</v>
      </c>
      <c r="M107" s="49"/>
      <c r="N107" s="46">
        <f>Uniforme!$E$12</f>
        <v>48.333333333333336</v>
      </c>
      <c r="O107" s="42"/>
      <c r="P107" s="49"/>
      <c r="Q107" s="46">
        <f>Uniforme!$E$12</f>
        <v>48.333333333333336</v>
      </c>
      <c r="R107" s="42"/>
      <c r="S107" s="222"/>
      <c r="T107" s="223"/>
      <c r="V107" s="49"/>
      <c r="W107" s="46">
        <v>0</v>
      </c>
      <c r="Y107" s="222"/>
      <c r="Z107" s="223">
        <v>0</v>
      </c>
    </row>
    <row r="108" spans="1:26" x14ac:dyDescent="0.2">
      <c r="A108" s="42"/>
      <c r="B108" s="71" t="s">
        <v>2</v>
      </c>
      <c r="C108" s="409" t="s">
        <v>39</v>
      </c>
      <c r="D108" s="415"/>
      <c r="E108" s="51"/>
      <c r="F108" s="82">
        <f>Materiais!$H$21</f>
        <v>6.8285666666666662</v>
      </c>
      <c r="G108" s="51"/>
      <c r="H108" s="82">
        <f>Materiais!$H$21</f>
        <v>6.8285666666666662</v>
      </c>
      <c r="I108" s="51"/>
      <c r="J108" s="82">
        <f>Materiais!$H$21</f>
        <v>6.8285666666666662</v>
      </c>
      <c r="K108" s="51"/>
      <c r="L108" s="82">
        <f>Materiais!$H$21</f>
        <v>6.8285666666666662</v>
      </c>
      <c r="M108" s="51"/>
      <c r="N108" s="82">
        <f>Materiais!$H$21</f>
        <v>6.8285666666666662</v>
      </c>
      <c r="O108" s="42"/>
      <c r="P108" s="51"/>
      <c r="Q108" s="82">
        <f>Materiais!$H$21</f>
        <v>6.8285666666666662</v>
      </c>
      <c r="R108" s="42"/>
      <c r="S108" s="224"/>
      <c r="T108" s="249"/>
      <c r="V108" s="51"/>
      <c r="W108" s="82">
        <v>0</v>
      </c>
      <c r="Y108" s="224"/>
      <c r="Z108" s="249">
        <v>0</v>
      </c>
    </row>
    <row r="109" spans="1:26" x14ac:dyDescent="0.2">
      <c r="A109" s="42"/>
      <c r="B109" s="71" t="s">
        <v>4</v>
      </c>
      <c r="C109" s="409" t="s">
        <v>220</v>
      </c>
      <c r="D109" s="415"/>
      <c r="E109" s="51"/>
      <c r="F109" s="52">
        <f>Equipamento!$I$7</f>
        <v>1.0256410256410258</v>
      </c>
      <c r="G109" s="51"/>
      <c r="H109" s="52">
        <f>Equipamento!$I$7</f>
        <v>1.0256410256410258</v>
      </c>
      <c r="I109" s="51"/>
      <c r="J109" s="52">
        <f>Equipamento!$I$7</f>
        <v>1.0256410256410258</v>
      </c>
      <c r="K109" s="51"/>
      <c r="L109" s="52">
        <f>Equipamento!$I$7</f>
        <v>1.0256410256410258</v>
      </c>
      <c r="M109" s="51"/>
      <c r="N109" s="52">
        <f>Equipamento!$I$7</f>
        <v>1.0256410256410258</v>
      </c>
      <c r="O109" s="42"/>
      <c r="P109" s="51"/>
      <c r="Q109" s="52">
        <f>Equipamento!$I$7</f>
        <v>1.0256410256410258</v>
      </c>
      <c r="R109" s="42"/>
      <c r="S109" s="224"/>
      <c r="T109" s="227"/>
      <c r="V109" s="51"/>
      <c r="W109" s="52">
        <v>0</v>
      </c>
      <c r="Y109" s="224"/>
      <c r="Z109" s="227">
        <v>0</v>
      </c>
    </row>
    <row r="110" spans="1:26" ht="13.5" thickBot="1" x14ac:dyDescent="0.25">
      <c r="A110" s="42"/>
      <c r="B110" s="71" t="s">
        <v>5</v>
      </c>
      <c r="C110" s="409" t="s">
        <v>37</v>
      </c>
      <c r="D110" s="415"/>
      <c r="E110" s="34"/>
      <c r="F110" s="98"/>
      <c r="G110" s="34"/>
      <c r="H110" s="54"/>
      <c r="I110" s="51"/>
      <c r="J110" s="52"/>
      <c r="K110" s="51"/>
      <c r="L110" s="52"/>
      <c r="M110" s="51"/>
      <c r="N110" s="52"/>
      <c r="O110" s="42"/>
      <c r="P110" s="51"/>
      <c r="Q110" s="52"/>
      <c r="R110" s="42"/>
      <c r="S110" s="224"/>
      <c r="T110" s="227"/>
      <c r="V110" s="51"/>
      <c r="W110" s="52"/>
      <c r="Y110" s="224"/>
      <c r="Z110" s="227"/>
    </row>
    <row r="111" spans="1:26" ht="15.75" thickBot="1" x14ac:dyDescent="0.3">
      <c r="A111" s="42"/>
      <c r="B111" s="41"/>
      <c r="C111" s="438" t="s">
        <v>16</v>
      </c>
      <c r="D111" s="439"/>
      <c r="E111" s="440"/>
      <c r="F111" s="5">
        <f>SUM(F107:F110)</f>
        <v>56.187541025641032</v>
      </c>
      <c r="G111" s="41"/>
      <c r="H111" s="5">
        <f>SUM(H107:H110)</f>
        <v>56.187541025641032</v>
      </c>
      <c r="I111" s="41"/>
      <c r="J111" s="5">
        <f>SUM(J107:J110)</f>
        <v>56.187541025641032</v>
      </c>
      <c r="K111" s="41"/>
      <c r="L111" s="5">
        <f>SUM(L107:L110)</f>
        <v>56.187541025641032</v>
      </c>
      <c r="M111" s="41"/>
      <c r="N111" s="5">
        <f>SUM(N107:N110)</f>
        <v>56.187541025641032</v>
      </c>
      <c r="O111" s="42"/>
      <c r="P111" s="41"/>
      <c r="Q111" s="5">
        <f>SUM(Q107:Q110)</f>
        <v>56.187541025641032</v>
      </c>
      <c r="R111" s="42"/>
      <c r="S111" s="213"/>
      <c r="T111" s="214">
        <f>SUM(T107:T110)</f>
        <v>0</v>
      </c>
      <c r="V111" s="41"/>
      <c r="W111" s="5">
        <f>SUM(W107:W110)</f>
        <v>0</v>
      </c>
      <c r="Y111" s="213"/>
      <c r="Z111" s="214">
        <f>SUM(Z107:Z110)</f>
        <v>0</v>
      </c>
    </row>
    <row r="112" spans="1:26" ht="15.75" thickBot="1" x14ac:dyDescent="0.3">
      <c r="A112" s="42"/>
      <c r="B112" s="42"/>
      <c r="C112" s="87"/>
      <c r="D112" s="87"/>
      <c r="E112" s="87"/>
      <c r="F112" s="25"/>
      <c r="G112" s="42"/>
      <c r="H112" s="25"/>
      <c r="I112" s="42"/>
      <c r="J112" s="25"/>
      <c r="K112" s="42"/>
      <c r="L112" s="25"/>
      <c r="M112" s="42"/>
      <c r="N112" s="25"/>
      <c r="O112" s="42"/>
      <c r="P112" s="42"/>
      <c r="Q112" s="25"/>
      <c r="R112" s="42"/>
      <c r="S112" s="198"/>
      <c r="T112" s="237"/>
      <c r="V112" s="42"/>
      <c r="W112" s="25"/>
      <c r="Y112" s="198"/>
      <c r="Z112" s="237"/>
    </row>
    <row r="113" spans="1:26" ht="15.75" thickBot="1" x14ac:dyDescent="0.3">
      <c r="A113" s="42"/>
      <c r="B113" s="369" t="s">
        <v>124</v>
      </c>
      <c r="C113" s="370"/>
      <c r="D113" s="370"/>
      <c r="E113" s="370"/>
      <c r="F113" s="370"/>
      <c r="G113" s="370"/>
      <c r="H113" s="370"/>
      <c r="I113" s="370"/>
      <c r="J113" s="370"/>
      <c r="K113" s="370"/>
      <c r="L113" s="370"/>
      <c r="M113" s="370"/>
      <c r="N113" s="371"/>
      <c r="O113" s="42"/>
      <c r="P113" s="42"/>
      <c r="Q113" s="42"/>
      <c r="R113" s="42"/>
      <c r="S113" s="198"/>
      <c r="T113" s="198"/>
      <c r="V113" s="42"/>
      <c r="W113" s="42"/>
      <c r="Y113" s="198"/>
      <c r="Z113" s="198"/>
    </row>
    <row r="114" spans="1:26" ht="15.75" thickBot="1" x14ac:dyDescent="0.3">
      <c r="A114" s="42"/>
      <c r="B114" s="65">
        <v>6</v>
      </c>
      <c r="C114" s="456" t="s">
        <v>59</v>
      </c>
      <c r="D114" s="457"/>
      <c r="E114" s="28" t="s">
        <v>13</v>
      </c>
      <c r="F114" s="30" t="s">
        <v>35</v>
      </c>
      <c r="G114" s="65" t="s">
        <v>13</v>
      </c>
      <c r="H114" s="66" t="s">
        <v>35</v>
      </c>
      <c r="I114" s="65" t="s">
        <v>13</v>
      </c>
      <c r="J114" s="66" t="s">
        <v>35</v>
      </c>
      <c r="K114" s="65" t="s">
        <v>13</v>
      </c>
      <c r="L114" s="66" t="s">
        <v>35</v>
      </c>
      <c r="M114" s="65" t="s">
        <v>13</v>
      </c>
      <c r="N114" s="66" t="s">
        <v>35</v>
      </c>
      <c r="O114" s="42"/>
      <c r="P114" s="65" t="s">
        <v>13</v>
      </c>
      <c r="Q114" s="66" t="s">
        <v>35</v>
      </c>
      <c r="R114" s="42"/>
      <c r="S114" s="250" t="s">
        <v>13</v>
      </c>
      <c r="T114" s="215" t="s">
        <v>35</v>
      </c>
      <c r="V114" s="65" t="s">
        <v>13</v>
      </c>
      <c r="W114" s="66" t="s">
        <v>35</v>
      </c>
      <c r="Y114" s="250" t="s">
        <v>13</v>
      </c>
      <c r="Z114" s="215" t="s">
        <v>35</v>
      </c>
    </row>
    <row r="115" spans="1:26" x14ac:dyDescent="0.2">
      <c r="A115" s="42"/>
      <c r="B115" s="70" t="s">
        <v>1</v>
      </c>
      <c r="C115" s="432" t="s">
        <v>50</v>
      </c>
      <c r="D115" s="445"/>
      <c r="E115" s="57">
        <v>7.4000000000000003E-3</v>
      </c>
      <c r="F115" s="47">
        <f>F130*E115</f>
        <v>43.924621486977081</v>
      </c>
      <c r="G115" s="57">
        <v>7.4000000000000003E-3</v>
      </c>
      <c r="H115" s="47">
        <f>H130*G115</f>
        <v>45.236364033086261</v>
      </c>
      <c r="I115" s="57">
        <v>7.4000000000000003E-3</v>
      </c>
      <c r="J115" s="47">
        <f>J130*I115</f>
        <v>48.935373842263132</v>
      </c>
      <c r="K115" s="57">
        <v>7.4000000000000003E-3</v>
      </c>
      <c r="L115" s="47">
        <f>L130*K115</f>
        <v>51.697062395698055</v>
      </c>
      <c r="M115" s="57">
        <v>7.4000000000000003E-3</v>
      </c>
      <c r="N115" s="47">
        <f>N130*M115</f>
        <v>54.195214109331026</v>
      </c>
      <c r="O115" s="42"/>
      <c r="P115" s="57">
        <v>7.4000000000000003E-3</v>
      </c>
      <c r="Q115" s="47">
        <f>Q130*P115</f>
        <v>42.916509501589751</v>
      </c>
      <c r="R115" s="42"/>
      <c r="S115" s="247"/>
      <c r="T115" s="251">
        <f>T130*S115</f>
        <v>0</v>
      </c>
      <c r="V115" s="57">
        <v>7.4000000000000003E-3</v>
      </c>
      <c r="W115" s="47">
        <f>W130*V115</f>
        <v>52.689573077200002</v>
      </c>
      <c r="Y115" s="247">
        <v>7.4000000000000003E-3</v>
      </c>
      <c r="Z115" s="251">
        <f>Z130*Y115</f>
        <v>47.407546228400001</v>
      </c>
    </row>
    <row r="116" spans="1:26" x14ac:dyDescent="0.2">
      <c r="A116" s="42"/>
      <c r="B116" s="80" t="s">
        <v>2</v>
      </c>
      <c r="C116" s="378" t="s">
        <v>0</v>
      </c>
      <c r="D116" s="446"/>
      <c r="E116" s="67">
        <v>5.0000000000000001E-3</v>
      </c>
      <c r="F116" s="63">
        <f>(F130+F115)*E116</f>
        <v>29.898421409446428</v>
      </c>
      <c r="G116" s="67">
        <v>5.0000000000000001E-3</v>
      </c>
      <c r="H116" s="63">
        <f>(H130+H115)*G116</f>
        <v>30.791292653331823</v>
      </c>
      <c r="I116" s="67">
        <v>5.0000000000000001E-3</v>
      </c>
      <c r="J116" s="63">
        <f>(J130+J115)*I116</f>
        <v>33.309118654524241</v>
      </c>
      <c r="K116" s="67">
        <v>5.0000000000000001E-3</v>
      </c>
      <c r="L116" s="63">
        <f>(L130+L115)*K116</f>
        <v>35.188932876639335</v>
      </c>
      <c r="M116" s="67">
        <v>5.0000000000000001E-3</v>
      </c>
      <c r="N116" s="63">
        <f>(N130+N115)*M116</f>
        <v>36.889363982256803</v>
      </c>
      <c r="O116" s="42"/>
      <c r="P116" s="67">
        <v>5.0000000000000001E-3</v>
      </c>
      <c r="Q116" s="63">
        <f>(Q130+Q115)*P116</f>
        <v>29.212224102636156</v>
      </c>
      <c r="R116" s="42"/>
      <c r="S116" s="299"/>
      <c r="T116" s="253">
        <f>(T130+T115)*S116</f>
        <v>0</v>
      </c>
      <c r="V116" s="67">
        <v>5.0000000000000001E-3</v>
      </c>
      <c r="W116" s="63">
        <f>(W130+W115)*V116</f>
        <v>35.864510755386</v>
      </c>
      <c r="Y116" s="299">
        <v>5.0000000000000001E-3</v>
      </c>
      <c r="Z116" s="253">
        <f>(Z130+Z115)*Y116</f>
        <v>32.269163561142001</v>
      </c>
    </row>
    <row r="117" spans="1:26" x14ac:dyDescent="0.2">
      <c r="A117" s="42"/>
      <c r="B117" s="71" t="s">
        <v>4</v>
      </c>
      <c r="C117" s="409" t="s">
        <v>14</v>
      </c>
      <c r="D117" s="415"/>
      <c r="E117" s="27">
        <f t="shared" ref="E117:N117" si="6">SUM(E118:E120)</f>
        <v>8.6499999999999994E-2</v>
      </c>
      <c r="F117" s="62">
        <f t="shared" si="6"/>
        <v>569.05236000000002</v>
      </c>
      <c r="G117" s="27">
        <f t="shared" si="6"/>
        <v>8.6499999999999994E-2</v>
      </c>
      <c r="H117" s="62">
        <f t="shared" si="6"/>
        <v>586.04078500000003</v>
      </c>
      <c r="I117" s="27">
        <f>SUM(I118:I120)</f>
        <v>8.6499999999999994E-2</v>
      </c>
      <c r="J117" s="62">
        <f>SUM(J118:J120)</f>
        <v>633.96178499999996</v>
      </c>
      <c r="K117" s="27">
        <f t="shared" ref="K117:L117" si="7">SUM(K118:K120)</f>
        <v>8.6499999999999994E-2</v>
      </c>
      <c r="L117" s="62">
        <f t="shared" si="7"/>
        <v>669.74928</v>
      </c>
      <c r="M117" s="27">
        <f t="shared" si="6"/>
        <v>8.6499999999999994E-2</v>
      </c>
      <c r="N117" s="62">
        <f t="shared" si="6"/>
        <v>702.10611999999992</v>
      </c>
      <c r="O117" s="42"/>
      <c r="P117" s="27">
        <f>SUM(P118:P120)</f>
        <v>8.6499999999999994E-2</v>
      </c>
      <c r="Q117" s="62">
        <f>SUM(Q118:Q120)</f>
        <v>555.98886000000005</v>
      </c>
      <c r="R117" s="42"/>
      <c r="S117" s="254">
        <f>SUM(S118:S120)</f>
        <v>0</v>
      </c>
      <c r="T117" s="255">
        <f>SUM(T118:T120)</f>
        <v>0</v>
      </c>
      <c r="V117" s="27">
        <f>SUM(V118:V120)</f>
        <v>8.6499999999999994E-2</v>
      </c>
      <c r="W117" s="62">
        <f>SUM(W118:W120)</f>
        <v>693.87500499999987</v>
      </c>
      <c r="Y117" s="254">
        <f>SUM(Y118:Y120)</f>
        <v>8.6499999999999994E-2</v>
      </c>
      <c r="Z117" s="255">
        <f>SUM(Z118:Z120)</f>
        <v>665.0002199999999</v>
      </c>
    </row>
    <row r="118" spans="1:26" x14ac:dyDescent="0.2">
      <c r="A118" s="42"/>
      <c r="B118" s="71"/>
      <c r="C118" s="409" t="s">
        <v>120</v>
      </c>
      <c r="D118" s="415"/>
      <c r="E118" s="34">
        <v>6.4999999999999997E-3</v>
      </c>
      <c r="F118" s="62">
        <f>E118*F132</f>
        <v>42.761159999999997</v>
      </c>
      <c r="G118" s="34">
        <v>6.4999999999999997E-3</v>
      </c>
      <c r="H118" s="62">
        <f>G118*H132</f>
        <v>44.038085000000002</v>
      </c>
      <c r="I118" s="34">
        <v>6.4999999999999997E-3</v>
      </c>
      <c r="J118" s="62">
        <f>I118*J132</f>
        <v>47.639085000000001</v>
      </c>
      <c r="K118" s="34">
        <v>6.4999999999999997E-3</v>
      </c>
      <c r="L118" s="62">
        <f>K118*L132</f>
        <v>50.327680000000001</v>
      </c>
      <c r="M118" s="34">
        <v>6.4999999999999997E-3</v>
      </c>
      <c r="N118" s="62">
        <f>M118*N132</f>
        <v>52.759720000000002</v>
      </c>
      <c r="O118" s="42"/>
      <c r="P118" s="34">
        <v>6.4999999999999997E-3</v>
      </c>
      <c r="Q118" s="62">
        <f>P118*Q132</f>
        <v>41.77966</v>
      </c>
      <c r="R118" s="42"/>
      <c r="S118" s="245">
        <v>0</v>
      </c>
      <c r="T118" s="255">
        <f>S118*T132</f>
        <v>0</v>
      </c>
      <c r="V118" s="34">
        <v>6.4999999999999997E-3</v>
      </c>
      <c r="W118" s="62">
        <f>V118*W132</f>
        <v>51.293904999999995</v>
      </c>
      <c r="Y118" s="245">
        <v>6.4999999999999997E-3</v>
      </c>
      <c r="Z118" s="255">
        <f>Y118*Z132</f>
        <v>46.151819999999994</v>
      </c>
    </row>
    <row r="119" spans="1:26" x14ac:dyDescent="0.2">
      <c r="A119" s="42"/>
      <c r="B119" s="71"/>
      <c r="C119" s="409" t="s">
        <v>121</v>
      </c>
      <c r="D119" s="415"/>
      <c r="E119" s="34">
        <v>0.03</v>
      </c>
      <c r="F119" s="62">
        <f>E119*F132</f>
        <v>197.35920000000002</v>
      </c>
      <c r="G119" s="34">
        <v>0.03</v>
      </c>
      <c r="H119" s="62">
        <f>G119*H132</f>
        <v>203.2527</v>
      </c>
      <c r="I119" s="34">
        <v>0.03</v>
      </c>
      <c r="J119" s="62">
        <f>I119*J132</f>
        <v>219.87270000000001</v>
      </c>
      <c r="K119" s="34">
        <v>0.03</v>
      </c>
      <c r="L119" s="62">
        <f>K119*L132</f>
        <v>232.2816</v>
      </c>
      <c r="M119" s="34">
        <v>0.03</v>
      </c>
      <c r="N119" s="62">
        <f>M119*N132</f>
        <v>243.50639999999999</v>
      </c>
      <c r="O119" s="42"/>
      <c r="P119" s="34">
        <v>0.03</v>
      </c>
      <c r="Q119" s="62">
        <f>P119*Q132</f>
        <v>192.82920000000001</v>
      </c>
      <c r="R119" s="42"/>
      <c r="S119" s="245">
        <v>0</v>
      </c>
      <c r="T119" s="255">
        <f>S119*T132</f>
        <v>0</v>
      </c>
      <c r="V119" s="34">
        <v>0.03</v>
      </c>
      <c r="W119" s="62">
        <f>V119*W132</f>
        <v>236.74109999999999</v>
      </c>
      <c r="Y119" s="245">
        <v>0.03</v>
      </c>
      <c r="Z119" s="255">
        <f>Y119*Z132</f>
        <v>213.00839999999999</v>
      </c>
    </row>
    <row r="120" spans="1:26" ht="13.5" thickBot="1" x14ac:dyDescent="0.25">
      <c r="A120" s="42"/>
      <c r="B120" s="71"/>
      <c r="C120" s="409" t="s">
        <v>122</v>
      </c>
      <c r="D120" s="415"/>
      <c r="E120" s="34">
        <v>0.05</v>
      </c>
      <c r="F120" s="62">
        <f>E120*F132</f>
        <v>328.93200000000002</v>
      </c>
      <c r="G120" s="34">
        <v>0.05</v>
      </c>
      <c r="H120" s="62">
        <f>ROUND(G120*H132,2)</f>
        <v>338.75</v>
      </c>
      <c r="I120" s="34">
        <v>0.05</v>
      </c>
      <c r="J120" s="52">
        <f>ROUND(I120*J132,2)</f>
        <v>366.45</v>
      </c>
      <c r="K120" s="34">
        <v>0.05</v>
      </c>
      <c r="L120" s="52">
        <f>ROUND(K120*L132,2)</f>
        <v>387.14</v>
      </c>
      <c r="M120" s="34">
        <v>0.05</v>
      </c>
      <c r="N120" s="52">
        <f>ROUND(M120*N132,2)</f>
        <v>405.84</v>
      </c>
      <c r="O120" s="42"/>
      <c r="P120" s="34">
        <v>0.05</v>
      </c>
      <c r="Q120" s="52">
        <f>ROUND(P120*Q132,2)</f>
        <v>321.38</v>
      </c>
      <c r="R120" s="42"/>
      <c r="S120" s="245">
        <v>0</v>
      </c>
      <c r="T120" s="227">
        <f>ROUND(S120*T132,2)</f>
        <v>0</v>
      </c>
      <c r="V120" s="34">
        <v>0.05</v>
      </c>
      <c r="W120" s="52">
        <f>ROUND(V120*$N$132,2)</f>
        <v>405.84</v>
      </c>
      <c r="Y120" s="245">
        <v>0.05</v>
      </c>
      <c r="Z120" s="227">
        <f>ROUND(Y120*$N$132,2)</f>
        <v>405.84</v>
      </c>
    </row>
    <row r="121" spans="1:26" ht="15.75" thickBot="1" x14ac:dyDescent="0.3">
      <c r="A121" s="42"/>
      <c r="B121" s="41"/>
      <c r="C121" s="438" t="s">
        <v>16</v>
      </c>
      <c r="D121" s="439"/>
      <c r="E121" s="440"/>
      <c r="F121" s="13">
        <f>ROUND(SUM(F115,F116,F117),2)</f>
        <v>642.88</v>
      </c>
      <c r="G121" s="41"/>
      <c r="H121" s="13">
        <f>ROUND(SUM(H115,H116,H117),2)</f>
        <v>662.07</v>
      </c>
      <c r="I121" s="41"/>
      <c r="J121" s="13">
        <f>ROUND(SUM(J115,J116,J117),2)</f>
        <v>716.21</v>
      </c>
      <c r="K121" s="41"/>
      <c r="L121" s="13">
        <f>ROUND(SUM(L115,L116,L117),2)</f>
        <v>756.64</v>
      </c>
      <c r="M121" s="41"/>
      <c r="N121" s="13">
        <f>ROUND(SUM(N115,N116,N117),2)</f>
        <v>793.19</v>
      </c>
      <c r="O121" s="42"/>
      <c r="P121" s="41"/>
      <c r="Q121" s="13">
        <f>ROUND(SUM(Q115,Q116,Q117),2)</f>
        <v>628.12</v>
      </c>
      <c r="R121" s="42"/>
      <c r="S121" s="213"/>
      <c r="T121" s="256">
        <f>ROUND(SUM(T115,T116,T117),2)</f>
        <v>0</v>
      </c>
      <c r="V121" s="41"/>
      <c r="W121" s="13">
        <f>ROUND(SUM(W115,W116,W117),2)</f>
        <v>782.43</v>
      </c>
      <c r="Y121" s="213"/>
      <c r="Z121" s="256">
        <f>ROUND(SUM(Z115,Z116,Z117),2)</f>
        <v>744.68</v>
      </c>
    </row>
    <row r="122" spans="1:26" ht="13.5" thickBot="1" x14ac:dyDescent="0.25">
      <c r="A122" s="42"/>
      <c r="B122" s="458"/>
      <c r="C122" s="458"/>
      <c r="D122" s="458"/>
      <c r="E122" s="458"/>
      <c r="F122" s="458"/>
      <c r="G122" s="42"/>
      <c r="H122" s="42"/>
      <c r="I122" s="42"/>
      <c r="J122" s="42"/>
      <c r="K122" s="42"/>
      <c r="L122" s="42"/>
      <c r="M122" s="42"/>
      <c r="N122" s="42"/>
      <c r="O122" s="42"/>
      <c r="P122" s="42"/>
      <c r="Q122" s="42"/>
      <c r="R122" s="42"/>
      <c r="S122" s="198"/>
      <c r="T122" s="198"/>
      <c r="V122" s="42"/>
      <c r="W122" s="42"/>
      <c r="Y122" s="198"/>
      <c r="Z122" s="198"/>
    </row>
    <row r="123" spans="1:26" ht="15.75" thickBot="1" x14ac:dyDescent="0.3">
      <c r="A123" s="42"/>
      <c r="B123" s="369" t="s">
        <v>125</v>
      </c>
      <c r="C123" s="370"/>
      <c r="D123" s="370"/>
      <c r="E123" s="370"/>
      <c r="F123" s="370"/>
      <c r="G123" s="370"/>
      <c r="H123" s="370"/>
      <c r="I123" s="370"/>
      <c r="J123" s="370"/>
      <c r="K123" s="370"/>
      <c r="L123" s="370"/>
      <c r="M123" s="370"/>
      <c r="N123" s="371"/>
      <c r="O123" s="42"/>
      <c r="P123" s="42"/>
      <c r="Q123" s="42"/>
      <c r="R123" s="42"/>
      <c r="S123" s="198"/>
      <c r="T123" s="198"/>
      <c r="V123" s="42"/>
      <c r="W123" s="42"/>
      <c r="Y123" s="198"/>
      <c r="Z123" s="198"/>
    </row>
    <row r="124" spans="1:26" ht="15.75" customHeight="1" thickBot="1" x14ac:dyDescent="0.3">
      <c r="A124" s="42"/>
      <c r="B124" s="100"/>
      <c r="C124" s="456" t="s">
        <v>127</v>
      </c>
      <c r="D124" s="456"/>
      <c r="E124" s="457"/>
      <c r="F124" s="136" t="s">
        <v>35</v>
      </c>
      <c r="G124" s="3"/>
      <c r="H124" s="6" t="s">
        <v>35</v>
      </c>
      <c r="I124" s="3"/>
      <c r="J124" s="4" t="s">
        <v>35</v>
      </c>
      <c r="K124" s="3"/>
      <c r="L124" s="4" t="s">
        <v>35</v>
      </c>
      <c r="M124" s="3"/>
      <c r="N124" s="4" t="s">
        <v>35</v>
      </c>
      <c r="O124" s="42"/>
      <c r="P124" s="3"/>
      <c r="Q124" s="4" t="s">
        <v>35</v>
      </c>
      <c r="R124" s="42"/>
      <c r="S124" s="257"/>
      <c r="T124" s="234" t="s">
        <v>35</v>
      </c>
      <c r="V124" s="3"/>
      <c r="W124" s="4" t="s">
        <v>35</v>
      </c>
      <c r="Y124" s="257"/>
      <c r="Z124" s="234" t="s">
        <v>35</v>
      </c>
    </row>
    <row r="125" spans="1:26" x14ac:dyDescent="0.2">
      <c r="A125" s="42"/>
      <c r="B125" s="70" t="s">
        <v>1</v>
      </c>
      <c r="C125" s="70" t="s">
        <v>52</v>
      </c>
      <c r="D125" s="402" t="s">
        <v>57</v>
      </c>
      <c r="E125" s="402"/>
      <c r="F125" s="59">
        <f>$F$37</f>
        <v>3161.4</v>
      </c>
      <c r="G125" s="39"/>
      <c r="H125" s="46">
        <f>$H$37</f>
        <v>3256.25</v>
      </c>
      <c r="I125" s="39"/>
      <c r="J125" s="55">
        <f>J37</f>
        <v>3533.02</v>
      </c>
      <c r="K125" s="39"/>
      <c r="L125" s="55">
        <f>L37</f>
        <v>3739.69</v>
      </c>
      <c r="M125" s="39"/>
      <c r="N125" s="55">
        <f>N37</f>
        <v>3926.66</v>
      </c>
      <c r="O125" s="42"/>
      <c r="P125" s="39"/>
      <c r="Q125" s="55">
        <f>Q37</f>
        <v>3739.69</v>
      </c>
      <c r="R125" s="42"/>
      <c r="S125" s="210"/>
      <c r="T125" s="235">
        <v>0</v>
      </c>
      <c r="V125" s="39"/>
      <c r="W125" s="55">
        <f>W37</f>
        <v>0</v>
      </c>
      <c r="Y125" s="210"/>
      <c r="Z125" s="235">
        <f>Z37</f>
        <v>0</v>
      </c>
    </row>
    <row r="126" spans="1:26" x14ac:dyDescent="0.2">
      <c r="A126" s="42"/>
      <c r="B126" s="71" t="s">
        <v>2</v>
      </c>
      <c r="C126" s="71" t="s">
        <v>53</v>
      </c>
      <c r="D126" s="379" t="s">
        <v>100</v>
      </c>
      <c r="E126" s="379"/>
      <c r="F126" s="62">
        <f>F71</f>
        <v>2585.4327490599999</v>
      </c>
      <c r="G126" s="39"/>
      <c r="H126" s="62">
        <f>H71</f>
        <v>2667.4992368749995</v>
      </c>
      <c r="I126" s="39"/>
      <c r="J126" s="52">
        <f>J71</f>
        <v>2879.2836290579999</v>
      </c>
      <c r="K126" s="39"/>
      <c r="L126" s="52">
        <f>L71</f>
        <v>3037.3680264509999</v>
      </c>
      <c r="M126" s="39"/>
      <c r="N126" s="52">
        <f>N71</f>
        <v>3180.3444912140003</v>
      </c>
      <c r="O126" s="42"/>
      <c r="P126" s="39"/>
      <c r="Q126" s="52">
        <f>Q71</f>
        <v>2003.6507700000002</v>
      </c>
      <c r="R126" s="42"/>
      <c r="S126" s="210"/>
      <c r="T126" s="227">
        <f>T71</f>
        <v>2003.6507700000002</v>
      </c>
      <c r="V126" s="39"/>
      <c r="W126" s="52">
        <f>W71</f>
        <v>7083.6946399999997</v>
      </c>
      <c r="Y126" s="210"/>
      <c r="Z126" s="227">
        <f>Z71</f>
        <v>6373.56808</v>
      </c>
    </row>
    <row r="127" spans="1:26" x14ac:dyDescent="0.2">
      <c r="A127" s="42"/>
      <c r="B127" s="71" t="s">
        <v>4</v>
      </c>
      <c r="C127" s="71" t="s">
        <v>54</v>
      </c>
      <c r="D127" s="379" t="s">
        <v>45</v>
      </c>
      <c r="E127" s="379"/>
      <c r="F127" s="62">
        <f>F81</f>
        <v>100.02941831666666</v>
      </c>
      <c r="G127" s="39"/>
      <c r="H127" s="62">
        <f>H81</f>
        <v>99.394055399305557</v>
      </c>
      <c r="I127" s="39"/>
      <c r="J127" s="52">
        <f>J81</f>
        <v>107.84220671227777</v>
      </c>
      <c r="K127" s="39"/>
      <c r="L127" s="52">
        <f>L81</f>
        <v>114.1506195888611</v>
      </c>
      <c r="M127" s="39"/>
      <c r="N127" s="52">
        <f>N81</f>
        <v>119.85770796905557</v>
      </c>
      <c r="O127" s="42"/>
      <c r="P127" s="39"/>
      <c r="Q127" s="52">
        <f>Q81</f>
        <v>0</v>
      </c>
      <c r="R127" s="42"/>
      <c r="S127" s="210"/>
      <c r="T127" s="227">
        <f>T81</f>
        <v>114.1506195888611</v>
      </c>
      <c r="V127" s="39"/>
      <c r="W127" s="52">
        <f>W81</f>
        <v>0</v>
      </c>
      <c r="Y127" s="210"/>
      <c r="Z127" s="227">
        <f>Z81</f>
        <v>0</v>
      </c>
    </row>
    <row r="128" spans="1:26" x14ac:dyDescent="0.2">
      <c r="A128" s="42"/>
      <c r="B128" s="71" t="s">
        <v>5</v>
      </c>
      <c r="C128" s="71" t="s">
        <v>55</v>
      </c>
      <c r="D128" s="379" t="s">
        <v>47</v>
      </c>
      <c r="E128" s="379"/>
      <c r="F128" s="62">
        <f>F103</f>
        <v>32.709952000000001</v>
      </c>
      <c r="G128" s="39"/>
      <c r="H128" s="62">
        <f>H103</f>
        <v>33.691333333333333</v>
      </c>
      <c r="I128" s="39"/>
      <c r="J128" s="52">
        <f>J103</f>
        <v>36.554980266666654</v>
      </c>
      <c r="K128" s="39"/>
      <c r="L128" s="52">
        <f>L103</f>
        <v>38.693325866666662</v>
      </c>
      <c r="M128" s="39"/>
      <c r="N128" s="52">
        <f>N103</f>
        <v>40.627842133333324</v>
      </c>
      <c r="O128" s="42"/>
      <c r="P128" s="39"/>
      <c r="Q128" s="52">
        <f>Q103</f>
        <v>0</v>
      </c>
      <c r="R128" s="42"/>
      <c r="S128" s="210"/>
      <c r="T128" s="227">
        <f>T103</f>
        <v>195.24971298629541</v>
      </c>
      <c r="V128" s="39"/>
      <c r="W128" s="52">
        <f>W103</f>
        <v>36.517937999999994</v>
      </c>
      <c r="Y128" s="210"/>
      <c r="Z128" s="227">
        <f>Z103</f>
        <v>32.857085999999995</v>
      </c>
    </row>
    <row r="129" spans="1:26" x14ac:dyDescent="0.2">
      <c r="A129" s="42"/>
      <c r="B129" s="71" t="s">
        <v>6</v>
      </c>
      <c r="C129" s="71" t="s">
        <v>56</v>
      </c>
      <c r="D129" s="379" t="s">
        <v>15</v>
      </c>
      <c r="E129" s="379"/>
      <c r="F129" s="62">
        <f>F111</f>
        <v>56.187541025641032</v>
      </c>
      <c r="G129" s="39"/>
      <c r="H129" s="62">
        <f>H111</f>
        <v>56.187541025641032</v>
      </c>
      <c r="I129" s="39"/>
      <c r="J129" s="52">
        <f>J111</f>
        <v>56.187541025641032</v>
      </c>
      <c r="K129" s="39"/>
      <c r="L129" s="52">
        <f>L111</f>
        <v>56.187541025641032</v>
      </c>
      <c r="M129" s="39"/>
      <c r="N129" s="52">
        <f>N111</f>
        <v>56.187541025641032</v>
      </c>
      <c r="O129" s="42"/>
      <c r="P129" s="39"/>
      <c r="Q129" s="52">
        <f>Q111</f>
        <v>56.187541025641032</v>
      </c>
      <c r="R129" s="42"/>
      <c r="S129" s="210"/>
      <c r="T129" s="227">
        <f>T111</f>
        <v>0</v>
      </c>
      <c r="V129" s="39"/>
      <c r="W129" s="52">
        <f>W111</f>
        <v>0</v>
      </c>
      <c r="Y129" s="210"/>
      <c r="Z129" s="227">
        <f>Z111</f>
        <v>0</v>
      </c>
    </row>
    <row r="130" spans="1:26" x14ac:dyDescent="0.2">
      <c r="A130" s="42"/>
      <c r="B130" s="71"/>
      <c r="C130" s="459" t="s">
        <v>123</v>
      </c>
      <c r="D130" s="459"/>
      <c r="E130" s="459"/>
      <c r="F130" s="62">
        <f>SUM(F125:F129)</f>
        <v>5935.7596604023083</v>
      </c>
      <c r="G130" s="39"/>
      <c r="H130" s="62">
        <f>SUM(H125:H129)</f>
        <v>6113.0221666332782</v>
      </c>
      <c r="I130" s="39"/>
      <c r="J130" s="52">
        <f>SUM(J125:J129)</f>
        <v>6612.8883570625849</v>
      </c>
      <c r="K130" s="39"/>
      <c r="L130" s="52">
        <f>SUM(L125:L129)</f>
        <v>6986.0895129321689</v>
      </c>
      <c r="M130" s="39"/>
      <c r="N130" s="52">
        <f>SUM(N125:N129)</f>
        <v>7323.6775823420303</v>
      </c>
      <c r="O130" s="42"/>
      <c r="P130" s="39"/>
      <c r="Q130" s="52">
        <f>SUM(Q125:Q129)</f>
        <v>5799.5283110256414</v>
      </c>
      <c r="R130" s="42"/>
      <c r="S130" s="210"/>
      <c r="T130" s="227">
        <v>0</v>
      </c>
      <c r="V130" s="39"/>
      <c r="W130" s="52">
        <f>SUM(W125:W129)</f>
        <v>7120.2125779999997</v>
      </c>
      <c r="Y130" s="210"/>
      <c r="Z130" s="227">
        <f>SUM(Z125:Z129)</f>
        <v>6406.425166</v>
      </c>
    </row>
    <row r="131" spans="1:26" ht="13.5" thickBot="1" x14ac:dyDescent="0.25">
      <c r="A131" s="42"/>
      <c r="B131" s="80" t="s">
        <v>6</v>
      </c>
      <c r="C131" s="99" t="s">
        <v>128</v>
      </c>
      <c r="D131" s="383" t="s">
        <v>59</v>
      </c>
      <c r="E131" s="451"/>
      <c r="F131" s="63">
        <f>$F$121</f>
        <v>642.88</v>
      </c>
      <c r="G131" s="64"/>
      <c r="H131" s="48">
        <f>H121</f>
        <v>662.07</v>
      </c>
      <c r="I131" s="64"/>
      <c r="J131" s="48">
        <f>J121</f>
        <v>716.21</v>
      </c>
      <c r="K131" s="64"/>
      <c r="L131" s="48">
        <f>L121</f>
        <v>756.64</v>
      </c>
      <c r="M131" s="64"/>
      <c r="N131" s="48">
        <f>N121</f>
        <v>793.19</v>
      </c>
      <c r="O131" s="42"/>
      <c r="P131" s="64"/>
      <c r="Q131" s="48">
        <f>Q121</f>
        <v>628.12</v>
      </c>
      <c r="R131" s="42"/>
      <c r="S131" s="258"/>
      <c r="T131" s="259">
        <f>T121</f>
        <v>0</v>
      </c>
      <c r="V131" s="64"/>
      <c r="W131" s="48">
        <f>W121</f>
        <v>782.43</v>
      </c>
      <c r="Y131" s="258"/>
      <c r="Z131" s="259">
        <f>Z121</f>
        <v>744.68</v>
      </c>
    </row>
    <row r="132" spans="1:26" ht="15.75" thickBot="1" x14ac:dyDescent="0.25">
      <c r="A132" s="42"/>
      <c r="B132" s="41"/>
      <c r="C132" s="449" t="s">
        <v>51</v>
      </c>
      <c r="D132" s="449"/>
      <c r="E132" s="449"/>
      <c r="F132" s="5">
        <f>ROUNDUP((F130+F115+F116)/(1-E117),2)</f>
        <v>6578.64</v>
      </c>
      <c r="G132" s="41"/>
      <c r="H132" s="13">
        <f>ROUNDDOWN((H130+H115+H116)/(1-G117),2)</f>
        <v>6775.09</v>
      </c>
      <c r="I132" s="41"/>
      <c r="J132" s="5">
        <f>ROUNDDOWN((J130+J115+J116)/(1-I117),2)</f>
        <v>7329.09</v>
      </c>
      <c r="K132" s="41"/>
      <c r="L132" s="5">
        <f>ROUNDDOWN((L130+L115+L116)/(1-K117),2)</f>
        <v>7742.72</v>
      </c>
      <c r="M132" s="41"/>
      <c r="N132" s="5">
        <f>ROUNDUP((N130+N115+N116)/(1-M117),2)</f>
        <v>8116.88</v>
      </c>
      <c r="O132" s="42"/>
      <c r="P132" s="41"/>
      <c r="Q132" s="5">
        <f>ROUNDDOWN((Q130+Q115+Q116)/(1-P117),2)</f>
        <v>6427.64</v>
      </c>
      <c r="R132" s="42"/>
      <c r="S132" s="213"/>
      <c r="T132" s="214"/>
      <c r="V132" s="41"/>
      <c r="W132" s="5">
        <f>ROUND((W130+W115+W116)/(1-V117),2)</f>
        <v>7891.37</v>
      </c>
      <c r="Y132" s="213"/>
      <c r="Z132" s="214">
        <f>ROUND((Z130+Z115+Z116)/(1-Y117),2)</f>
        <v>7100.28</v>
      </c>
    </row>
    <row r="133" spans="1:26" x14ac:dyDescent="0.2">
      <c r="A133" s="42"/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  <c r="O133" s="42"/>
      <c r="P133" s="42"/>
      <c r="Q133" s="42"/>
      <c r="R133" s="42"/>
      <c r="S133" s="42"/>
      <c r="T133" s="42"/>
      <c r="V133" s="42"/>
      <c r="W133" s="42"/>
      <c r="Y133" s="42"/>
      <c r="Z133" s="42"/>
    </row>
    <row r="134" spans="1:26" x14ac:dyDescent="0.2">
      <c r="A134" s="42"/>
      <c r="B134" s="42"/>
      <c r="C134" s="42"/>
      <c r="D134" s="42"/>
      <c r="E134" s="42"/>
      <c r="F134" s="29"/>
      <c r="G134" s="42"/>
      <c r="H134" s="83"/>
      <c r="I134" s="42"/>
      <c r="J134" s="83">
        <v>7329.09</v>
      </c>
      <c r="K134" s="42"/>
      <c r="L134" s="83"/>
      <c r="M134" s="42"/>
      <c r="N134" s="83"/>
      <c r="O134" s="42"/>
      <c r="P134" s="42"/>
      <c r="Q134" s="83">
        <v>6086.7</v>
      </c>
      <c r="R134" s="42"/>
      <c r="S134" s="42"/>
      <c r="T134" s="83">
        <v>184.76</v>
      </c>
      <c r="V134" s="42"/>
      <c r="W134" s="83">
        <v>7100.27</v>
      </c>
      <c r="Y134" s="42"/>
      <c r="Z134" s="83"/>
    </row>
    <row r="135" spans="1:26" x14ac:dyDescent="0.2">
      <c r="A135" s="42"/>
      <c r="B135" s="42"/>
      <c r="C135" s="42"/>
      <c r="D135" s="42"/>
      <c r="E135" s="42"/>
      <c r="G135" s="42"/>
      <c r="H135" s="42"/>
      <c r="I135" s="42"/>
      <c r="J135" s="83"/>
      <c r="K135" s="42"/>
      <c r="L135" s="83"/>
      <c r="M135" s="42"/>
      <c r="N135" s="83"/>
      <c r="O135" s="42"/>
      <c r="P135" s="42"/>
      <c r="Q135" s="83"/>
      <c r="R135" s="42"/>
      <c r="S135" s="42"/>
      <c r="T135" s="83" t="s">
        <v>281</v>
      </c>
      <c r="V135" s="42"/>
      <c r="W135" s="83"/>
      <c r="Y135" s="42"/>
      <c r="Z135" s="83"/>
    </row>
    <row r="136" spans="1:26" x14ac:dyDescent="0.2">
      <c r="A136" s="42"/>
      <c r="B136" s="42"/>
      <c r="C136" s="42"/>
      <c r="D136" s="42"/>
      <c r="E136" s="42"/>
      <c r="F136" s="42"/>
      <c r="G136" s="42"/>
      <c r="H136" s="83"/>
      <c r="I136" s="42"/>
      <c r="J136" s="42"/>
      <c r="K136" s="42"/>
      <c r="L136" s="42"/>
      <c r="M136" s="42"/>
      <c r="N136" s="42"/>
      <c r="O136" s="42"/>
      <c r="P136" s="42"/>
      <c r="Q136" s="42"/>
      <c r="R136" s="42"/>
      <c r="S136" s="42"/>
      <c r="T136" s="83"/>
      <c r="V136" s="42"/>
      <c r="W136" s="42"/>
      <c r="Y136" s="42"/>
      <c r="Z136" s="42"/>
    </row>
    <row r="137" spans="1:26" x14ac:dyDescent="0.2">
      <c r="A137" s="42"/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  <c r="O137" s="42"/>
      <c r="P137" s="42"/>
      <c r="Q137" s="42"/>
      <c r="R137" s="42"/>
      <c r="S137" s="42"/>
      <c r="T137" s="96"/>
      <c r="V137" s="42"/>
      <c r="W137" s="42"/>
      <c r="Y137" s="42"/>
      <c r="Z137" s="42"/>
    </row>
    <row r="138" spans="1:26" x14ac:dyDescent="0.2">
      <c r="A138" s="42"/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  <c r="O138" s="42"/>
      <c r="P138" s="42"/>
      <c r="Q138" s="42"/>
      <c r="R138" s="42"/>
      <c r="S138" s="42"/>
      <c r="T138" s="83"/>
      <c r="V138" s="42"/>
      <c r="W138" s="42"/>
      <c r="Y138" s="42"/>
      <c r="Z138" s="42"/>
    </row>
    <row r="139" spans="1:26" x14ac:dyDescent="0.2">
      <c r="A139" s="42"/>
      <c r="B139" s="42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  <c r="O139" s="42"/>
      <c r="P139" s="42"/>
      <c r="Q139" s="42"/>
      <c r="R139" s="42"/>
      <c r="S139" s="42"/>
      <c r="T139" s="42"/>
      <c r="V139" s="42"/>
      <c r="W139" s="42"/>
      <c r="Y139" s="42"/>
      <c r="Z139" s="42"/>
    </row>
    <row r="140" spans="1:26" x14ac:dyDescent="0.2">
      <c r="A140" s="42"/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  <c r="O140" s="42"/>
      <c r="P140" s="42"/>
      <c r="Q140" s="42"/>
      <c r="R140" s="42"/>
      <c r="S140" s="42"/>
      <c r="T140" s="42"/>
      <c r="V140" s="42"/>
      <c r="W140" s="42"/>
      <c r="Y140" s="42"/>
      <c r="Z140" s="42"/>
    </row>
    <row r="141" spans="1:26" x14ac:dyDescent="0.2">
      <c r="A141" s="42"/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2"/>
      <c r="O141" s="42"/>
      <c r="P141" s="42"/>
      <c r="Q141" s="42"/>
      <c r="R141" s="42"/>
      <c r="S141" s="42"/>
      <c r="T141" s="42"/>
      <c r="V141" s="42"/>
      <c r="W141" s="42"/>
      <c r="Y141" s="42"/>
      <c r="Z141" s="42"/>
    </row>
    <row r="142" spans="1:26" x14ac:dyDescent="0.2">
      <c r="A142" s="42"/>
      <c r="B142" s="42"/>
      <c r="C142" s="42"/>
      <c r="D142" s="42"/>
      <c r="E142" s="42"/>
      <c r="F142" s="42" t="s">
        <v>60</v>
      </c>
      <c r="G142" s="42"/>
      <c r="H142" s="42"/>
      <c r="I142" s="42"/>
      <c r="J142" s="42"/>
      <c r="K142" s="42"/>
      <c r="L142" s="42"/>
      <c r="M142" s="42"/>
      <c r="N142" s="42"/>
      <c r="O142" s="42"/>
      <c r="P142" s="42"/>
      <c r="Q142" s="42"/>
      <c r="R142" s="42"/>
      <c r="S142" s="42"/>
      <c r="T142" s="42"/>
      <c r="V142" s="42"/>
      <c r="W142" s="42"/>
      <c r="Y142" s="42"/>
      <c r="Z142" s="42"/>
    </row>
    <row r="143" spans="1:26" x14ac:dyDescent="0.2">
      <c r="A143" s="42"/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  <c r="O143" s="42"/>
      <c r="P143" s="42"/>
      <c r="Q143" s="42"/>
      <c r="R143" s="42"/>
      <c r="S143" s="42"/>
      <c r="T143" s="42"/>
      <c r="V143" s="42"/>
      <c r="W143" s="42"/>
      <c r="Y143" s="42"/>
      <c r="Z143" s="42"/>
    </row>
    <row r="144" spans="1:26" x14ac:dyDescent="0.2">
      <c r="A144" s="42"/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  <c r="O144" s="42"/>
      <c r="P144" s="42"/>
      <c r="Q144" s="42"/>
      <c r="R144" s="42"/>
      <c r="S144" s="42"/>
      <c r="T144" s="42"/>
      <c r="V144" s="42"/>
      <c r="W144" s="42"/>
      <c r="Y144" s="42"/>
      <c r="Z144" s="42"/>
    </row>
    <row r="145" spans="1:26" x14ac:dyDescent="0.2">
      <c r="A145" s="42"/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  <c r="O145" s="42"/>
      <c r="P145" s="42"/>
      <c r="Q145" s="42"/>
      <c r="R145" s="42"/>
      <c r="S145" s="42"/>
      <c r="T145" s="42"/>
      <c r="V145" s="42"/>
      <c r="W145" s="42"/>
      <c r="Y145" s="42"/>
      <c r="Z145" s="42"/>
    </row>
    <row r="146" spans="1:26" x14ac:dyDescent="0.2">
      <c r="A146" s="42"/>
      <c r="B146" s="42"/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2"/>
      <c r="O146" s="42"/>
      <c r="P146" s="42"/>
      <c r="Q146" s="42"/>
      <c r="R146" s="42"/>
      <c r="S146" s="42"/>
      <c r="T146" s="42"/>
      <c r="V146" s="42"/>
      <c r="W146" s="42"/>
      <c r="Y146" s="42"/>
      <c r="Z146" s="42"/>
    </row>
    <row r="147" spans="1:26" x14ac:dyDescent="0.2">
      <c r="A147" s="42"/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2"/>
      <c r="O147" s="42"/>
      <c r="P147" s="42"/>
      <c r="Q147" s="42"/>
      <c r="R147" s="42"/>
      <c r="S147" s="42"/>
      <c r="T147" s="42"/>
      <c r="V147" s="42"/>
      <c r="W147" s="42"/>
      <c r="Y147" s="42"/>
      <c r="Z147" s="42"/>
    </row>
    <row r="148" spans="1:26" x14ac:dyDescent="0.2">
      <c r="A148" s="42"/>
      <c r="B148" s="42"/>
      <c r="C148" s="42"/>
      <c r="D148" s="42"/>
      <c r="E148" s="42"/>
      <c r="F148" s="42"/>
      <c r="G148" s="42"/>
      <c r="H148" s="42"/>
      <c r="I148" s="42"/>
      <c r="J148" s="42"/>
      <c r="K148" s="42"/>
      <c r="L148" s="42"/>
      <c r="M148" s="42"/>
      <c r="N148" s="42"/>
      <c r="O148" s="42"/>
      <c r="P148" s="42"/>
      <c r="Q148" s="42"/>
      <c r="R148" s="42"/>
      <c r="S148" s="42"/>
      <c r="T148" s="42"/>
      <c r="V148" s="42"/>
      <c r="W148" s="42"/>
      <c r="Y148" s="42"/>
      <c r="Z148" s="42"/>
    </row>
    <row r="149" spans="1:26" x14ac:dyDescent="0.2">
      <c r="A149" s="42"/>
      <c r="B149" s="42"/>
      <c r="C149" s="42"/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  <c r="O149" s="42"/>
      <c r="P149" s="42"/>
      <c r="Q149" s="42"/>
      <c r="R149" s="42"/>
      <c r="S149" s="42"/>
      <c r="T149" s="42"/>
      <c r="V149" s="42"/>
      <c r="W149" s="42"/>
      <c r="Y149" s="42"/>
      <c r="Z149" s="42"/>
    </row>
    <row r="150" spans="1:26" x14ac:dyDescent="0.2">
      <c r="A150" s="42"/>
      <c r="B150" s="42"/>
      <c r="C150" s="42"/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2"/>
      <c r="O150" s="42"/>
      <c r="P150" s="42"/>
      <c r="Q150" s="42"/>
      <c r="R150" s="42"/>
      <c r="S150" s="42"/>
      <c r="T150" s="42"/>
      <c r="V150" s="42"/>
      <c r="W150" s="42"/>
      <c r="Y150" s="42"/>
      <c r="Z150" s="42"/>
    </row>
    <row r="151" spans="1:26" x14ac:dyDescent="0.2">
      <c r="A151" s="42"/>
      <c r="B151" s="42"/>
      <c r="C151" s="42"/>
      <c r="D151" s="42"/>
      <c r="E151" s="42"/>
      <c r="F151" s="42"/>
      <c r="G151" s="42"/>
      <c r="H151" s="42"/>
      <c r="I151" s="42"/>
      <c r="J151" s="42"/>
      <c r="K151" s="42"/>
      <c r="L151" s="42"/>
      <c r="M151" s="42"/>
      <c r="N151" s="42"/>
      <c r="O151" s="42"/>
      <c r="P151" s="42"/>
      <c r="Q151" s="42"/>
      <c r="R151" s="42"/>
      <c r="S151" s="42"/>
      <c r="T151" s="42"/>
      <c r="V151" s="42"/>
      <c r="W151" s="42"/>
      <c r="Y151" s="42"/>
      <c r="Z151" s="42"/>
    </row>
    <row r="152" spans="1:26" x14ac:dyDescent="0.2">
      <c r="A152" s="42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42"/>
      <c r="Q152" s="42"/>
      <c r="R152" s="42"/>
      <c r="S152" s="42"/>
      <c r="T152" s="42"/>
      <c r="V152" s="42"/>
      <c r="W152" s="42"/>
      <c r="Y152" s="42"/>
      <c r="Z152" s="42"/>
    </row>
    <row r="153" spans="1:26" x14ac:dyDescent="0.2">
      <c r="A153" s="42"/>
      <c r="B153" s="42"/>
      <c r="C153" s="42"/>
      <c r="D153" s="42"/>
      <c r="E153" s="42"/>
      <c r="F153" s="42"/>
      <c r="G153" s="42"/>
      <c r="H153" s="42"/>
      <c r="I153" s="42"/>
      <c r="J153" s="42"/>
      <c r="K153" s="42"/>
      <c r="L153" s="42"/>
      <c r="M153" s="42"/>
      <c r="N153" s="42"/>
      <c r="O153" s="42"/>
      <c r="P153" s="42"/>
      <c r="Q153" s="42"/>
      <c r="R153" s="42"/>
      <c r="S153" s="42"/>
      <c r="T153" s="42"/>
      <c r="V153" s="42"/>
      <c r="W153" s="42"/>
      <c r="Y153" s="42"/>
      <c r="Z153" s="42"/>
    </row>
    <row r="154" spans="1:26" x14ac:dyDescent="0.2">
      <c r="A154" s="42"/>
      <c r="B154" s="42"/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2"/>
      <c r="O154" s="42"/>
      <c r="P154" s="42"/>
      <c r="Q154" s="42"/>
      <c r="R154" s="42"/>
      <c r="S154" s="42"/>
      <c r="T154" s="42"/>
      <c r="V154" s="42"/>
      <c r="W154" s="42"/>
      <c r="Y154" s="42"/>
      <c r="Z154" s="42"/>
    </row>
    <row r="155" spans="1:26" x14ac:dyDescent="0.2">
      <c r="A155" s="42"/>
      <c r="B155" s="42"/>
      <c r="C155" s="42"/>
      <c r="D155" s="42"/>
      <c r="E155" s="42"/>
      <c r="F155" s="42"/>
      <c r="G155" s="42"/>
      <c r="H155" s="42"/>
      <c r="I155" s="42"/>
      <c r="J155" s="42"/>
      <c r="K155" s="42"/>
      <c r="L155" s="42"/>
      <c r="M155" s="42"/>
      <c r="N155" s="42"/>
      <c r="O155" s="42"/>
      <c r="P155" s="42"/>
      <c r="Q155" s="42"/>
      <c r="R155" s="42"/>
      <c r="S155" s="42"/>
      <c r="T155" s="42"/>
      <c r="V155" s="42"/>
      <c r="W155" s="42"/>
      <c r="Y155" s="42"/>
      <c r="Z155" s="42"/>
    </row>
    <row r="156" spans="1:26" x14ac:dyDescent="0.2">
      <c r="A156" s="42"/>
      <c r="B156" s="42"/>
      <c r="C156" s="42"/>
      <c r="D156" s="42"/>
      <c r="E156" s="42"/>
      <c r="F156" s="42"/>
      <c r="G156" s="42"/>
      <c r="H156" s="42"/>
      <c r="I156" s="42"/>
      <c r="J156" s="42"/>
      <c r="K156" s="42"/>
      <c r="L156" s="42"/>
      <c r="M156" s="42"/>
      <c r="N156" s="42"/>
      <c r="O156" s="42"/>
      <c r="P156" s="42"/>
      <c r="Q156" s="42"/>
      <c r="R156" s="42"/>
      <c r="S156" s="42"/>
      <c r="T156" s="42"/>
      <c r="V156" s="42"/>
      <c r="W156" s="42"/>
      <c r="Y156" s="42"/>
      <c r="Z156" s="42"/>
    </row>
    <row r="157" spans="1:26" x14ac:dyDescent="0.2">
      <c r="A157" s="42"/>
      <c r="B157" s="42"/>
      <c r="C157" s="42"/>
      <c r="D157" s="42"/>
      <c r="E157" s="42"/>
      <c r="F157" s="42"/>
      <c r="G157" s="42"/>
      <c r="H157" s="42"/>
      <c r="I157" s="42"/>
      <c r="J157" s="42"/>
      <c r="K157" s="42"/>
      <c r="L157" s="42"/>
      <c r="M157" s="42"/>
      <c r="N157" s="42"/>
      <c r="O157" s="42"/>
      <c r="P157" s="42"/>
      <c r="Q157" s="42"/>
      <c r="R157" s="42"/>
      <c r="S157" s="42"/>
      <c r="T157" s="42"/>
      <c r="V157" s="42"/>
      <c r="W157" s="42"/>
      <c r="Y157" s="42"/>
      <c r="Z157" s="42"/>
    </row>
    <row r="158" spans="1:26" x14ac:dyDescent="0.2">
      <c r="A158" s="42"/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2"/>
      <c r="O158" s="42"/>
      <c r="P158" s="42"/>
      <c r="Q158" s="42"/>
      <c r="R158" s="42"/>
      <c r="S158" s="42"/>
      <c r="T158" s="42"/>
      <c r="V158" s="42"/>
      <c r="W158" s="42"/>
      <c r="Y158" s="42"/>
      <c r="Z158" s="42"/>
    </row>
    <row r="159" spans="1:26" x14ac:dyDescent="0.2">
      <c r="A159" s="42"/>
      <c r="B159" s="42"/>
      <c r="C159" s="42"/>
      <c r="D159" s="42"/>
      <c r="E159" s="42"/>
      <c r="F159" s="42"/>
      <c r="G159" s="42"/>
      <c r="H159" s="42"/>
      <c r="I159" s="42"/>
      <c r="J159" s="42"/>
      <c r="K159" s="42"/>
      <c r="L159" s="42"/>
      <c r="M159" s="42"/>
      <c r="N159" s="42"/>
      <c r="O159" s="42"/>
      <c r="P159" s="42"/>
      <c r="Q159" s="42"/>
      <c r="R159" s="42"/>
      <c r="S159" s="42"/>
      <c r="T159" s="42"/>
      <c r="V159" s="42"/>
      <c r="W159" s="42"/>
      <c r="Y159" s="42"/>
      <c r="Z159" s="42"/>
    </row>
    <row r="160" spans="1:26" x14ac:dyDescent="0.2">
      <c r="A160" s="42"/>
      <c r="B160" s="42"/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  <c r="O160" s="42"/>
      <c r="P160" s="42"/>
      <c r="Q160" s="42"/>
      <c r="R160" s="42"/>
      <c r="S160" s="42"/>
      <c r="T160" s="42"/>
      <c r="V160" s="42"/>
      <c r="W160" s="42"/>
      <c r="Y160" s="42"/>
      <c r="Z160" s="42"/>
    </row>
    <row r="161" spans="1:26" x14ac:dyDescent="0.2">
      <c r="A161" s="42"/>
      <c r="B161" s="42"/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42"/>
      <c r="N161" s="42"/>
      <c r="O161" s="42"/>
      <c r="P161" s="42"/>
      <c r="Q161" s="42"/>
      <c r="R161" s="42"/>
      <c r="S161" s="42"/>
      <c r="T161" s="42"/>
      <c r="V161" s="42"/>
      <c r="W161" s="42"/>
      <c r="Y161" s="42"/>
      <c r="Z161" s="42"/>
    </row>
    <row r="162" spans="1:26" x14ac:dyDescent="0.2">
      <c r="A162" s="42"/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  <c r="O162" s="42"/>
      <c r="P162" s="42"/>
      <c r="Q162" s="42"/>
      <c r="R162" s="42"/>
      <c r="S162" s="42"/>
      <c r="T162" s="42"/>
      <c r="V162" s="42"/>
      <c r="W162" s="42"/>
      <c r="Y162" s="42"/>
      <c r="Z162" s="42"/>
    </row>
    <row r="163" spans="1:26" x14ac:dyDescent="0.2">
      <c r="A163" s="42"/>
      <c r="B163" s="42"/>
      <c r="C163" s="42"/>
      <c r="D163" s="42"/>
      <c r="E163" s="42"/>
      <c r="F163" s="42"/>
      <c r="G163" s="42"/>
      <c r="H163" s="42"/>
      <c r="I163" s="42"/>
      <c r="J163" s="42"/>
      <c r="K163" s="42"/>
      <c r="L163" s="42"/>
      <c r="M163" s="42"/>
      <c r="N163" s="42"/>
      <c r="O163" s="42"/>
      <c r="P163" s="42"/>
      <c r="Q163" s="42"/>
      <c r="R163" s="42"/>
      <c r="S163" s="42"/>
      <c r="T163" s="42"/>
      <c r="V163" s="42"/>
      <c r="W163" s="42"/>
      <c r="Y163" s="42"/>
      <c r="Z163" s="42"/>
    </row>
    <row r="164" spans="1:26" x14ac:dyDescent="0.2">
      <c r="A164" s="42"/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  <c r="O164" s="42"/>
      <c r="P164" s="42"/>
      <c r="Q164" s="42"/>
      <c r="R164" s="42"/>
      <c r="S164" s="42"/>
      <c r="T164" s="42"/>
      <c r="V164" s="42"/>
      <c r="W164" s="42"/>
      <c r="Y164" s="42"/>
      <c r="Z164" s="42"/>
    </row>
    <row r="165" spans="1:26" x14ac:dyDescent="0.2">
      <c r="A165" s="42"/>
      <c r="B165" s="42"/>
      <c r="C165" s="42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2"/>
      <c r="O165" s="42"/>
      <c r="P165" s="42"/>
      <c r="Q165" s="42"/>
      <c r="R165" s="42"/>
      <c r="S165" s="42"/>
      <c r="T165" s="42"/>
      <c r="V165" s="42"/>
      <c r="W165" s="42"/>
      <c r="Y165" s="42"/>
      <c r="Z165" s="42"/>
    </row>
    <row r="166" spans="1:26" x14ac:dyDescent="0.2">
      <c r="A166" s="42"/>
      <c r="B166" s="42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  <c r="O166" s="42"/>
      <c r="P166" s="42"/>
      <c r="Q166" s="42"/>
      <c r="R166" s="42"/>
      <c r="S166" s="42"/>
      <c r="T166" s="42"/>
      <c r="V166" s="42"/>
      <c r="W166" s="42"/>
      <c r="Y166" s="42"/>
      <c r="Z166" s="42"/>
    </row>
    <row r="167" spans="1:26" x14ac:dyDescent="0.2">
      <c r="A167" s="42"/>
      <c r="B167" s="42"/>
      <c r="C167" s="42"/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2"/>
      <c r="O167" s="42"/>
      <c r="P167" s="42"/>
      <c r="Q167" s="42"/>
      <c r="R167" s="42"/>
      <c r="S167" s="42"/>
      <c r="T167" s="42"/>
      <c r="V167" s="42"/>
      <c r="W167" s="42"/>
      <c r="Y167" s="42"/>
      <c r="Z167" s="42"/>
    </row>
    <row r="168" spans="1:26" x14ac:dyDescent="0.2">
      <c r="A168" s="42"/>
      <c r="B168" s="42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42"/>
      <c r="Q168" s="42"/>
      <c r="R168" s="42"/>
      <c r="S168" s="42"/>
      <c r="T168" s="42"/>
      <c r="V168" s="42"/>
      <c r="W168" s="42"/>
      <c r="Y168" s="42"/>
      <c r="Z168" s="42"/>
    </row>
    <row r="169" spans="1:26" x14ac:dyDescent="0.2">
      <c r="A169" s="42"/>
      <c r="B169" s="42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  <c r="O169" s="42"/>
      <c r="P169" s="42"/>
      <c r="Q169" s="42"/>
      <c r="R169" s="42"/>
      <c r="S169" s="42"/>
      <c r="T169" s="42"/>
      <c r="V169" s="42"/>
      <c r="W169" s="42"/>
      <c r="Y169" s="42"/>
      <c r="Z169" s="42"/>
    </row>
    <row r="170" spans="1:26" x14ac:dyDescent="0.2">
      <c r="A170" s="42"/>
      <c r="B170" s="42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42"/>
      <c r="Q170" s="42"/>
      <c r="R170" s="42"/>
      <c r="S170" s="42"/>
      <c r="T170" s="42"/>
      <c r="V170" s="42"/>
      <c r="W170" s="42"/>
      <c r="Y170" s="42"/>
      <c r="Z170" s="42"/>
    </row>
    <row r="171" spans="1:26" x14ac:dyDescent="0.2">
      <c r="A171" s="42"/>
      <c r="B171" s="42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  <c r="P171" s="42"/>
      <c r="Q171" s="42"/>
      <c r="R171" s="42"/>
      <c r="S171" s="42"/>
      <c r="T171" s="42"/>
      <c r="V171" s="42"/>
      <c r="W171" s="42"/>
      <c r="Y171" s="42"/>
      <c r="Z171" s="42"/>
    </row>
    <row r="172" spans="1:26" x14ac:dyDescent="0.2">
      <c r="A172" s="42"/>
      <c r="B172" s="42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42"/>
      <c r="Q172" s="42"/>
      <c r="R172" s="42"/>
      <c r="S172" s="42"/>
      <c r="T172" s="42"/>
      <c r="V172" s="42"/>
      <c r="W172" s="42"/>
      <c r="Y172" s="42"/>
      <c r="Z172" s="42"/>
    </row>
    <row r="173" spans="1:26" x14ac:dyDescent="0.2">
      <c r="A173" s="42"/>
      <c r="B173" s="42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42"/>
      <c r="Q173" s="42"/>
      <c r="R173" s="42"/>
      <c r="S173" s="42"/>
      <c r="T173" s="42"/>
      <c r="V173" s="42"/>
      <c r="W173" s="42"/>
      <c r="Y173" s="42"/>
      <c r="Z173" s="42"/>
    </row>
    <row r="174" spans="1:26" x14ac:dyDescent="0.2">
      <c r="A174" s="42"/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42"/>
      <c r="Q174" s="42"/>
      <c r="R174" s="42"/>
      <c r="S174" s="42"/>
      <c r="T174" s="42"/>
      <c r="V174" s="42"/>
      <c r="W174" s="42"/>
      <c r="Y174" s="42"/>
      <c r="Z174" s="42"/>
    </row>
    <row r="175" spans="1:26" x14ac:dyDescent="0.2">
      <c r="A175" s="42"/>
      <c r="B175" s="42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  <c r="O175" s="42"/>
      <c r="P175" s="42"/>
      <c r="Q175" s="42"/>
      <c r="R175" s="42"/>
      <c r="S175" s="42"/>
      <c r="T175" s="42"/>
      <c r="V175" s="42"/>
      <c r="W175" s="42"/>
      <c r="Y175" s="42"/>
      <c r="Z175" s="42"/>
    </row>
    <row r="176" spans="1:26" x14ac:dyDescent="0.2">
      <c r="A176" s="42"/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42"/>
      <c r="Q176" s="42"/>
      <c r="R176" s="42"/>
      <c r="S176" s="42"/>
      <c r="T176" s="42"/>
      <c r="V176" s="42"/>
      <c r="W176" s="42"/>
      <c r="Y176" s="42"/>
      <c r="Z176" s="42"/>
    </row>
    <row r="177" spans="1:26" x14ac:dyDescent="0.2">
      <c r="A177" s="42"/>
      <c r="B177" s="42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42"/>
      <c r="Q177" s="42"/>
      <c r="R177" s="42"/>
      <c r="S177" s="42"/>
      <c r="T177" s="42"/>
      <c r="V177" s="42"/>
      <c r="W177" s="42"/>
      <c r="Y177" s="42"/>
      <c r="Z177" s="42"/>
    </row>
    <row r="178" spans="1:26" x14ac:dyDescent="0.2">
      <c r="A178" s="42"/>
      <c r="B178" s="42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42"/>
      <c r="Q178" s="42"/>
      <c r="R178" s="42"/>
      <c r="S178" s="42"/>
      <c r="T178" s="42"/>
      <c r="V178" s="42"/>
      <c r="W178" s="42"/>
      <c r="Y178" s="42"/>
      <c r="Z178" s="42"/>
    </row>
    <row r="179" spans="1:26" x14ac:dyDescent="0.2">
      <c r="A179" s="42"/>
      <c r="B179" s="42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  <c r="O179" s="42"/>
      <c r="P179" s="42"/>
      <c r="Q179" s="42"/>
      <c r="R179" s="42"/>
      <c r="S179" s="42"/>
      <c r="T179" s="42"/>
      <c r="V179" s="42"/>
      <c r="W179" s="42"/>
      <c r="Y179" s="42"/>
      <c r="Z179" s="42"/>
    </row>
    <row r="180" spans="1:26" x14ac:dyDescent="0.2">
      <c r="A180" s="42"/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42"/>
      <c r="Q180" s="42"/>
      <c r="R180" s="42"/>
      <c r="S180" s="42"/>
      <c r="T180" s="42"/>
      <c r="V180" s="42"/>
      <c r="W180" s="42"/>
      <c r="Y180" s="42"/>
      <c r="Z180" s="42"/>
    </row>
    <row r="181" spans="1:26" x14ac:dyDescent="0.2">
      <c r="A181" s="42"/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V181" s="42"/>
      <c r="W181" s="42"/>
      <c r="Y181" s="42"/>
      <c r="Z181" s="42"/>
    </row>
    <row r="182" spans="1:26" x14ac:dyDescent="0.2">
      <c r="A182" s="42"/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42"/>
      <c r="Q182" s="42"/>
      <c r="R182" s="42"/>
      <c r="S182" s="42"/>
      <c r="T182" s="42"/>
      <c r="V182" s="42"/>
      <c r="W182" s="42"/>
      <c r="Y182" s="42"/>
      <c r="Z182" s="42"/>
    </row>
    <row r="183" spans="1:26" x14ac:dyDescent="0.2">
      <c r="A183" s="42"/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42"/>
      <c r="Q183" s="42"/>
      <c r="R183" s="42"/>
      <c r="S183" s="42"/>
      <c r="T183" s="42"/>
      <c r="V183" s="42"/>
      <c r="W183" s="42"/>
      <c r="Y183" s="42"/>
      <c r="Z183" s="42"/>
    </row>
    <row r="184" spans="1:26" x14ac:dyDescent="0.2">
      <c r="A184" s="42"/>
      <c r="B184" s="42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42"/>
      <c r="Q184" s="42"/>
      <c r="R184" s="42"/>
      <c r="S184" s="42"/>
      <c r="T184" s="42"/>
      <c r="V184" s="42"/>
      <c r="W184" s="42"/>
      <c r="Y184" s="42"/>
      <c r="Z184" s="42"/>
    </row>
    <row r="185" spans="1:26" x14ac:dyDescent="0.2">
      <c r="A185" s="42"/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42"/>
      <c r="Q185" s="42"/>
      <c r="R185" s="42"/>
      <c r="S185" s="42"/>
      <c r="T185" s="42"/>
      <c r="V185" s="42"/>
      <c r="W185" s="42"/>
      <c r="Y185" s="42"/>
      <c r="Z185" s="42"/>
    </row>
    <row r="186" spans="1:26" x14ac:dyDescent="0.2">
      <c r="A186" s="42"/>
      <c r="B186" s="42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V186" s="42"/>
      <c r="W186" s="42"/>
      <c r="Y186" s="42"/>
      <c r="Z186" s="42"/>
    </row>
    <row r="187" spans="1:26" x14ac:dyDescent="0.2">
      <c r="A187" s="42"/>
      <c r="B187" s="42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42"/>
      <c r="Q187" s="42"/>
      <c r="R187" s="42"/>
      <c r="S187" s="42"/>
      <c r="T187" s="42"/>
      <c r="V187" s="42"/>
      <c r="W187" s="42"/>
      <c r="Y187" s="42"/>
      <c r="Z187" s="42"/>
    </row>
    <row r="188" spans="1:26" x14ac:dyDescent="0.2">
      <c r="A188" s="42"/>
      <c r="B188" s="42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42"/>
      <c r="Q188" s="42"/>
      <c r="R188" s="42"/>
      <c r="S188" s="42"/>
      <c r="T188" s="42"/>
      <c r="V188" s="42"/>
      <c r="W188" s="42"/>
      <c r="Y188" s="42"/>
      <c r="Z188" s="42"/>
    </row>
    <row r="189" spans="1:26" x14ac:dyDescent="0.2">
      <c r="A189" s="42"/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42"/>
      <c r="Q189" s="42"/>
      <c r="R189" s="42"/>
      <c r="S189" s="42"/>
      <c r="T189" s="42"/>
      <c r="V189" s="42"/>
      <c r="W189" s="42"/>
      <c r="Y189" s="42"/>
      <c r="Z189" s="42"/>
    </row>
    <row r="190" spans="1:26" x14ac:dyDescent="0.2">
      <c r="A190" s="42"/>
      <c r="B190" s="42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42"/>
      <c r="Q190" s="42"/>
      <c r="R190" s="42"/>
      <c r="S190" s="42"/>
      <c r="T190" s="42"/>
      <c r="V190" s="42"/>
      <c r="W190" s="42"/>
      <c r="Y190" s="42"/>
      <c r="Z190" s="42"/>
    </row>
    <row r="191" spans="1:26" x14ac:dyDescent="0.2">
      <c r="A191" s="42"/>
      <c r="B191" s="42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42"/>
      <c r="Q191" s="42"/>
      <c r="R191" s="42"/>
      <c r="S191" s="42"/>
      <c r="T191" s="42"/>
      <c r="V191" s="42"/>
      <c r="W191" s="42"/>
      <c r="Y191" s="42"/>
      <c r="Z191" s="42"/>
    </row>
    <row r="192" spans="1:26" x14ac:dyDescent="0.2">
      <c r="A192" s="42"/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42"/>
      <c r="Q192" s="42"/>
      <c r="R192" s="42"/>
      <c r="S192" s="42"/>
      <c r="T192" s="42"/>
      <c r="V192" s="42"/>
      <c r="W192" s="42"/>
      <c r="Y192" s="42"/>
      <c r="Z192" s="42"/>
    </row>
    <row r="193" spans="1:26" x14ac:dyDescent="0.2">
      <c r="A193" s="42"/>
      <c r="B193" s="42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42"/>
      <c r="Q193" s="42"/>
      <c r="R193" s="42"/>
      <c r="S193" s="42"/>
      <c r="T193" s="42"/>
      <c r="V193" s="42"/>
      <c r="W193" s="42"/>
      <c r="Y193" s="42"/>
      <c r="Z193" s="42"/>
    </row>
    <row r="194" spans="1:26" x14ac:dyDescent="0.2">
      <c r="A194" s="42"/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42"/>
      <c r="Q194" s="42"/>
      <c r="R194" s="42"/>
      <c r="S194" s="42"/>
      <c r="T194" s="42"/>
      <c r="V194" s="42"/>
      <c r="W194" s="42"/>
      <c r="Y194" s="42"/>
      <c r="Z194" s="42"/>
    </row>
    <row r="195" spans="1:26" x14ac:dyDescent="0.2">
      <c r="A195" s="42"/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42"/>
      <c r="Q195" s="42"/>
      <c r="R195" s="42"/>
      <c r="S195" s="42"/>
      <c r="T195" s="42"/>
      <c r="V195" s="42"/>
      <c r="W195" s="42"/>
      <c r="Y195" s="42"/>
      <c r="Z195" s="42"/>
    </row>
    <row r="196" spans="1:26" x14ac:dyDescent="0.2">
      <c r="A196" s="42"/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42"/>
      <c r="Q196" s="42"/>
      <c r="R196" s="42"/>
      <c r="S196" s="42"/>
      <c r="T196" s="42"/>
      <c r="V196" s="42"/>
      <c r="W196" s="42"/>
      <c r="Y196" s="42"/>
      <c r="Z196" s="42"/>
    </row>
    <row r="197" spans="1:26" x14ac:dyDescent="0.2">
      <c r="A197" s="42"/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42"/>
      <c r="Q197" s="42"/>
      <c r="R197" s="42"/>
      <c r="S197" s="42"/>
      <c r="T197" s="42"/>
      <c r="V197" s="42"/>
      <c r="W197" s="42"/>
      <c r="Y197" s="42"/>
      <c r="Z197" s="42"/>
    </row>
    <row r="198" spans="1:26" x14ac:dyDescent="0.2">
      <c r="A198" s="42"/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42"/>
      <c r="Q198" s="42"/>
      <c r="R198" s="42"/>
      <c r="S198" s="42"/>
      <c r="T198" s="42"/>
      <c r="V198" s="42"/>
      <c r="W198" s="42"/>
      <c r="Y198" s="42"/>
      <c r="Z198" s="42"/>
    </row>
    <row r="199" spans="1:26" x14ac:dyDescent="0.2">
      <c r="A199" s="42"/>
      <c r="B199" s="42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42"/>
      <c r="Q199" s="42"/>
      <c r="R199" s="42"/>
      <c r="S199" s="42"/>
      <c r="T199" s="42"/>
      <c r="V199" s="42"/>
      <c r="W199" s="42"/>
      <c r="Y199" s="42"/>
      <c r="Z199" s="42"/>
    </row>
    <row r="200" spans="1:26" x14ac:dyDescent="0.2">
      <c r="A200" s="42"/>
      <c r="B200" s="42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42"/>
      <c r="Q200" s="42"/>
      <c r="R200" s="42"/>
      <c r="S200" s="42"/>
      <c r="T200" s="42"/>
      <c r="V200" s="42"/>
      <c r="W200" s="42"/>
      <c r="Y200" s="42"/>
      <c r="Z200" s="42"/>
    </row>
    <row r="201" spans="1:26" x14ac:dyDescent="0.2">
      <c r="A201" s="42"/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42"/>
      <c r="Q201" s="42"/>
      <c r="R201" s="42"/>
      <c r="S201" s="42"/>
      <c r="T201" s="42"/>
      <c r="V201" s="42"/>
      <c r="W201" s="42"/>
      <c r="Y201" s="42"/>
      <c r="Z201" s="42"/>
    </row>
    <row r="202" spans="1:26" x14ac:dyDescent="0.2">
      <c r="A202" s="42"/>
      <c r="B202" s="42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42"/>
      <c r="Q202" s="42"/>
      <c r="R202" s="42"/>
      <c r="S202" s="42"/>
      <c r="T202" s="42"/>
      <c r="V202" s="42"/>
      <c r="W202" s="42"/>
      <c r="Y202" s="42"/>
      <c r="Z202" s="42"/>
    </row>
    <row r="203" spans="1:26" x14ac:dyDescent="0.2">
      <c r="A203" s="42"/>
      <c r="B203" s="42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42"/>
      <c r="Q203" s="42"/>
      <c r="R203" s="42"/>
      <c r="S203" s="42"/>
      <c r="T203" s="42"/>
      <c r="V203" s="42"/>
      <c r="W203" s="42"/>
      <c r="Y203" s="42"/>
      <c r="Z203" s="42"/>
    </row>
    <row r="204" spans="1:26" x14ac:dyDescent="0.2">
      <c r="A204" s="42"/>
      <c r="B204" s="42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42"/>
      <c r="Q204" s="42"/>
      <c r="R204" s="42"/>
      <c r="S204" s="42"/>
      <c r="T204" s="42"/>
      <c r="V204" s="42"/>
      <c r="W204" s="42"/>
      <c r="Y204" s="42"/>
      <c r="Z204" s="42"/>
    </row>
    <row r="205" spans="1:26" x14ac:dyDescent="0.2">
      <c r="A205" s="42"/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42"/>
      <c r="Q205" s="42"/>
      <c r="R205" s="42"/>
      <c r="S205" s="42"/>
      <c r="T205" s="42"/>
      <c r="V205" s="42"/>
      <c r="W205" s="42"/>
      <c r="Y205" s="42"/>
      <c r="Z205" s="42"/>
    </row>
    <row r="206" spans="1:26" x14ac:dyDescent="0.2">
      <c r="A206" s="42"/>
      <c r="B206" s="42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V206" s="42"/>
      <c r="W206" s="42"/>
      <c r="Y206" s="42"/>
      <c r="Z206" s="42"/>
    </row>
    <row r="207" spans="1:26" x14ac:dyDescent="0.2">
      <c r="A207" s="42"/>
      <c r="B207" s="42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42"/>
      <c r="Q207" s="42"/>
      <c r="R207" s="42"/>
      <c r="S207" s="42"/>
      <c r="T207" s="42"/>
      <c r="V207" s="42"/>
      <c r="W207" s="42"/>
      <c r="Y207" s="42"/>
      <c r="Z207" s="42"/>
    </row>
    <row r="208" spans="1:26" x14ac:dyDescent="0.2">
      <c r="A208" s="42"/>
      <c r="B208" s="42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42"/>
      <c r="Q208" s="42"/>
      <c r="R208" s="42"/>
      <c r="S208" s="42"/>
      <c r="T208" s="42"/>
      <c r="V208" s="42"/>
      <c r="W208" s="42"/>
      <c r="Y208" s="42"/>
      <c r="Z208" s="42"/>
    </row>
    <row r="209" spans="1:26" x14ac:dyDescent="0.2">
      <c r="A209" s="42"/>
      <c r="B209" s="42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42"/>
      <c r="Q209" s="42"/>
      <c r="R209" s="42"/>
      <c r="S209" s="42"/>
      <c r="T209" s="42"/>
      <c r="V209" s="42"/>
      <c r="W209" s="42"/>
      <c r="Y209" s="42"/>
      <c r="Z209" s="42"/>
    </row>
    <row r="210" spans="1:26" x14ac:dyDescent="0.2">
      <c r="A210" s="42"/>
      <c r="B210" s="42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42"/>
      <c r="Q210" s="42"/>
      <c r="R210" s="42"/>
      <c r="S210" s="42"/>
      <c r="T210" s="42"/>
      <c r="V210" s="42"/>
      <c r="W210" s="42"/>
      <c r="Y210" s="42"/>
      <c r="Z210" s="42"/>
    </row>
    <row r="211" spans="1:26" x14ac:dyDescent="0.2">
      <c r="A211" s="42"/>
      <c r="B211" s="42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42"/>
      <c r="Q211" s="42"/>
      <c r="R211" s="42"/>
      <c r="S211" s="42"/>
      <c r="T211" s="42"/>
      <c r="V211" s="42"/>
      <c r="W211" s="42"/>
      <c r="Y211" s="42"/>
      <c r="Z211" s="42"/>
    </row>
    <row r="212" spans="1:26" x14ac:dyDescent="0.2">
      <c r="A212" s="42"/>
      <c r="B212" s="42"/>
      <c r="C212" s="42"/>
      <c r="D212" s="42"/>
      <c r="E212" s="42"/>
      <c r="F212" s="42"/>
      <c r="G212" s="42"/>
      <c r="H212" s="42"/>
      <c r="I212" s="42"/>
      <c r="J212" s="42"/>
      <c r="K212" s="42"/>
      <c r="L212" s="42"/>
      <c r="M212" s="42"/>
      <c r="N212" s="42"/>
      <c r="O212" s="42"/>
      <c r="P212" s="42"/>
      <c r="Q212" s="42"/>
      <c r="R212" s="42"/>
      <c r="S212" s="42"/>
      <c r="T212" s="42"/>
      <c r="V212" s="42"/>
      <c r="W212" s="42"/>
      <c r="Y212" s="42"/>
      <c r="Z212" s="42"/>
    </row>
    <row r="213" spans="1:26" x14ac:dyDescent="0.2">
      <c r="A213" s="42"/>
      <c r="B213" s="42"/>
      <c r="C213" s="42"/>
      <c r="D213" s="42"/>
      <c r="E213" s="42"/>
      <c r="F213" s="42"/>
      <c r="G213" s="42"/>
      <c r="H213" s="42"/>
      <c r="I213" s="42"/>
      <c r="J213" s="42"/>
      <c r="K213" s="42"/>
      <c r="L213" s="42"/>
      <c r="M213" s="42"/>
      <c r="N213" s="42"/>
      <c r="O213" s="42"/>
      <c r="P213" s="42"/>
      <c r="Q213" s="42"/>
      <c r="R213" s="42"/>
      <c r="S213" s="42"/>
      <c r="T213" s="42"/>
      <c r="V213" s="42"/>
      <c r="W213" s="42"/>
      <c r="Y213" s="42"/>
      <c r="Z213" s="42"/>
    </row>
    <row r="214" spans="1:26" x14ac:dyDescent="0.2">
      <c r="A214" s="42"/>
      <c r="B214" s="42"/>
      <c r="C214" s="42"/>
      <c r="D214" s="42"/>
      <c r="E214" s="42"/>
      <c r="F214" s="42"/>
      <c r="G214" s="42"/>
      <c r="H214" s="42"/>
      <c r="I214" s="42"/>
      <c r="J214" s="42"/>
      <c r="K214" s="42"/>
      <c r="L214" s="42"/>
      <c r="M214" s="42"/>
      <c r="N214" s="42"/>
      <c r="O214" s="42"/>
      <c r="P214" s="42"/>
      <c r="Q214" s="42"/>
      <c r="R214" s="42"/>
      <c r="S214" s="42"/>
      <c r="T214" s="42"/>
      <c r="V214" s="42"/>
      <c r="W214" s="42"/>
      <c r="Y214" s="42"/>
      <c r="Z214" s="42"/>
    </row>
    <row r="215" spans="1:26" x14ac:dyDescent="0.2">
      <c r="A215" s="42"/>
      <c r="B215" s="42"/>
      <c r="C215" s="42"/>
      <c r="D215" s="42"/>
      <c r="E215" s="42"/>
      <c r="F215" s="42"/>
      <c r="G215" s="42"/>
      <c r="H215" s="42"/>
      <c r="I215" s="42"/>
      <c r="J215" s="42"/>
      <c r="K215" s="42"/>
      <c r="L215" s="42"/>
      <c r="M215" s="42"/>
      <c r="N215" s="42"/>
      <c r="O215" s="42"/>
      <c r="P215" s="42"/>
      <c r="Q215" s="42"/>
      <c r="R215" s="42"/>
      <c r="S215" s="42"/>
      <c r="T215" s="42"/>
      <c r="V215" s="42"/>
      <c r="W215" s="42"/>
      <c r="Y215" s="42"/>
      <c r="Z215" s="42"/>
    </row>
    <row r="216" spans="1:26" x14ac:dyDescent="0.2">
      <c r="A216" s="42"/>
      <c r="B216" s="42"/>
      <c r="C216" s="42"/>
      <c r="D216" s="42"/>
      <c r="E216" s="42"/>
      <c r="F216" s="42"/>
      <c r="G216" s="42"/>
      <c r="H216" s="42"/>
      <c r="I216" s="42"/>
      <c r="J216" s="42"/>
      <c r="K216" s="42"/>
      <c r="L216" s="42"/>
      <c r="M216" s="42"/>
      <c r="N216" s="42"/>
      <c r="O216" s="42"/>
      <c r="P216" s="42"/>
      <c r="Q216" s="42"/>
      <c r="R216" s="42"/>
      <c r="S216" s="42"/>
      <c r="T216" s="42"/>
      <c r="V216" s="42"/>
      <c r="W216" s="42"/>
      <c r="Y216" s="42"/>
      <c r="Z216" s="42"/>
    </row>
    <row r="217" spans="1:26" x14ac:dyDescent="0.2">
      <c r="A217" s="42"/>
      <c r="B217" s="42"/>
      <c r="C217" s="42"/>
      <c r="D217" s="42"/>
      <c r="E217" s="42"/>
      <c r="F217" s="42"/>
      <c r="G217" s="42"/>
      <c r="H217" s="42"/>
      <c r="I217" s="42"/>
      <c r="J217" s="42"/>
      <c r="K217" s="42"/>
      <c r="L217" s="42"/>
      <c r="M217" s="42"/>
      <c r="N217" s="42"/>
      <c r="O217" s="42"/>
      <c r="P217" s="42"/>
      <c r="Q217" s="42"/>
      <c r="R217" s="42"/>
      <c r="S217" s="42"/>
      <c r="T217" s="42"/>
      <c r="V217" s="42"/>
      <c r="W217" s="42"/>
      <c r="Y217" s="42"/>
      <c r="Z217" s="42"/>
    </row>
    <row r="218" spans="1:26" x14ac:dyDescent="0.2">
      <c r="A218" s="42"/>
      <c r="B218" s="42"/>
      <c r="C218" s="42"/>
      <c r="D218" s="42"/>
      <c r="E218" s="42"/>
      <c r="F218" s="42"/>
      <c r="G218" s="42"/>
      <c r="H218" s="42"/>
      <c r="I218" s="42"/>
      <c r="J218" s="42"/>
      <c r="K218" s="42"/>
      <c r="L218" s="42"/>
      <c r="M218" s="42"/>
      <c r="N218" s="42"/>
      <c r="O218" s="42"/>
      <c r="P218" s="42"/>
      <c r="Q218" s="42"/>
      <c r="R218" s="42"/>
      <c r="S218" s="42"/>
      <c r="T218" s="42"/>
      <c r="V218" s="42"/>
      <c r="W218" s="42"/>
      <c r="Y218" s="42"/>
      <c r="Z218" s="42"/>
    </row>
    <row r="219" spans="1:26" x14ac:dyDescent="0.2">
      <c r="A219" s="42"/>
      <c r="B219" s="42"/>
      <c r="C219" s="42"/>
      <c r="D219" s="42"/>
      <c r="E219" s="42"/>
      <c r="F219" s="42"/>
      <c r="G219" s="42"/>
      <c r="H219" s="42"/>
      <c r="I219" s="42"/>
      <c r="J219" s="42"/>
      <c r="K219" s="42"/>
      <c r="L219" s="42"/>
      <c r="M219" s="42"/>
      <c r="N219" s="42"/>
      <c r="O219" s="42"/>
      <c r="P219" s="42"/>
      <c r="Q219" s="42"/>
      <c r="R219" s="42"/>
      <c r="S219" s="42"/>
      <c r="T219" s="42"/>
      <c r="V219" s="42"/>
      <c r="W219" s="42"/>
      <c r="Y219" s="42"/>
      <c r="Z219" s="42"/>
    </row>
    <row r="220" spans="1:26" x14ac:dyDescent="0.2">
      <c r="A220" s="42"/>
      <c r="B220" s="42"/>
      <c r="C220" s="42"/>
      <c r="D220" s="42"/>
      <c r="E220" s="42"/>
      <c r="F220" s="42"/>
      <c r="G220" s="42"/>
      <c r="H220" s="42"/>
      <c r="I220" s="42"/>
      <c r="J220" s="42"/>
      <c r="K220" s="42"/>
      <c r="L220" s="42"/>
      <c r="M220" s="42"/>
      <c r="N220" s="42"/>
      <c r="O220" s="42"/>
      <c r="P220" s="42"/>
      <c r="Q220" s="42"/>
      <c r="R220" s="42"/>
      <c r="S220" s="42"/>
      <c r="T220" s="42"/>
      <c r="V220" s="42"/>
      <c r="W220" s="42"/>
      <c r="Y220" s="42"/>
      <c r="Z220" s="42"/>
    </row>
    <row r="221" spans="1:26" x14ac:dyDescent="0.2">
      <c r="A221" s="42"/>
      <c r="B221" s="42"/>
      <c r="C221" s="42"/>
      <c r="D221" s="42"/>
      <c r="E221" s="42"/>
      <c r="F221" s="42"/>
      <c r="G221" s="42"/>
      <c r="H221" s="42"/>
      <c r="I221" s="42"/>
      <c r="J221" s="42"/>
      <c r="K221" s="42"/>
      <c r="L221" s="42"/>
      <c r="M221" s="42"/>
      <c r="N221" s="42"/>
      <c r="O221" s="42"/>
      <c r="P221" s="42"/>
      <c r="Q221" s="42"/>
      <c r="R221" s="42"/>
      <c r="S221" s="42"/>
      <c r="T221" s="42"/>
      <c r="V221" s="42"/>
      <c r="W221" s="42"/>
      <c r="Y221" s="42"/>
      <c r="Z221" s="42"/>
    </row>
    <row r="222" spans="1:26" x14ac:dyDescent="0.2">
      <c r="A222" s="42"/>
      <c r="B222" s="42"/>
      <c r="C222" s="42"/>
      <c r="D222" s="42"/>
      <c r="E222" s="42"/>
      <c r="F222" s="42"/>
      <c r="G222" s="42"/>
      <c r="H222" s="42"/>
      <c r="I222" s="42"/>
      <c r="J222" s="42"/>
      <c r="K222" s="42"/>
      <c r="L222" s="42"/>
      <c r="M222" s="42"/>
      <c r="N222" s="42"/>
      <c r="O222" s="42"/>
      <c r="P222" s="42"/>
      <c r="Q222" s="42"/>
      <c r="R222" s="42"/>
      <c r="S222" s="42"/>
      <c r="T222" s="42"/>
      <c r="V222" s="42"/>
      <c r="W222" s="42"/>
      <c r="Y222" s="42"/>
      <c r="Z222" s="42"/>
    </row>
    <row r="223" spans="1:26" x14ac:dyDescent="0.2">
      <c r="A223" s="42"/>
      <c r="B223" s="42"/>
      <c r="C223" s="42"/>
      <c r="D223" s="42"/>
      <c r="E223" s="42"/>
      <c r="F223" s="42"/>
      <c r="G223" s="42"/>
      <c r="H223" s="42"/>
      <c r="I223" s="42"/>
      <c r="J223" s="42"/>
      <c r="K223" s="42"/>
      <c r="L223" s="42"/>
      <c r="M223" s="42"/>
      <c r="N223" s="42"/>
      <c r="O223" s="42"/>
      <c r="P223" s="42"/>
      <c r="Q223" s="42"/>
      <c r="R223" s="42"/>
      <c r="S223" s="42"/>
      <c r="T223" s="42"/>
      <c r="V223" s="42"/>
      <c r="W223" s="42"/>
      <c r="Y223" s="42"/>
      <c r="Z223" s="42"/>
    </row>
    <row r="224" spans="1:26" x14ac:dyDescent="0.2">
      <c r="A224" s="42"/>
      <c r="B224" s="42"/>
      <c r="C224" s="42"/>
      <c r="D224" s="42"/>
      <c r="E224" s="42"/>
      <c r="F224" s="42"/>
      <c r="G224" s="42"/>
      <c r="H224" s="42"/>
      <c r="I224" s="42"/>
      <c r="J224" s="42"/>
      <c r="K224" s="42"/>
      <c r="L224" s="42"/>
      <c r="M224" s="42"/>
      <c r="N224" s="42"/>
      <c r="O224" s="42"/>
      <c r="P224" s="42"/>
      <c r="Q224" s="42"/>
      <c r="R224" s="42"/>
      <c r="S224" s="42"/>
      <c r="T224" s="42"/>
      <c r="V224" s="42"/>
      <c r="W224" s="42"/>
      <c r="Y224" s="42"/>
      <c r="Z224" s="42"/>
    </row>
    <row r="225" spans="1:26" x14ac:dyDescent="0.2">
      <c r="A225" s="42"/>
      <c r="B225" s="42"/>
      <c r="C225" s="42"/>
      <c r="D225" s="42"/>
      <c r="E225" s="42"/>
      <c r="F225" s="42"/>
      <c r="G225" s="42"/>
      <c r="H225" s="42"/>
      <c r="I225" s="42"/>
      <c r="J225" s="42"/>
      <c r="K225" s="42"/>
      <c r="L225" s="42"/>
      <c r="M225" s="42"/>
      <c r="N225" s="42"/>
      <c r="O225" s="42"/>
      <c r="P225" s="42"/>
      <c r="Q225" s="42"/>
      <c r="R225" s="42"/>
      <c r="S225" s="42"/>
      <c r="T225" s="42"/>
      <c r="V225" s="42"/>
      <c r="W225" s="42"/>
      <c r="Y225" s="42"/>
      <c r="Z225" s="42"/>
    </row>
    <row r="226" spans="1:26" x14ac:dyDescent="0.2">
      <c r="A226" s="42"/>
      <c r="B226" s="42"/>
      <c r="C226" s="42"/>
      <c r="D226" s="42"/>
      <c r="E226" s="42"/>
      <c r="F226" s="42"/>
      <c r="G226" s="42"/>
      <c r="H226" s="42"/>
      <c r="I226" s="42"/>
      <c r="J226" s="42"/>
      <c r="K226" s="42"/>
      <c r="L226" s="42"/>
      <c r="M226" s="42"/>
      <c r="N226" s="42"/>
      <c r="O226" s="42"/>
      <c r="P226" s="42"/>
      <c r="Q226" s="42"/>
      <c r="R226" s="42"/>
      <c r="S226" s="42"/>
      <c r="T226" s="42"/>
      <c r="V226" s="42"/>
      <c r="W226" s="42"/>
      <c r="Y226" s="42"/>
      <c r="Z226" s="42"/>
    </row>
    <row r="227" spans="1:26" x14ac:dyDescent="0.2">
      <c r="A227" s="42"/>
      <c r="B227" s="42"/>
      <c r="C227" s="42"/>
      <c r="D227" s="42"/>
      <c r="E227" s="42"/>
      <c r="F227" s="42"/>
      <c r="G227" s="42"/>
      <c r="H227" s="42"/>
      <c r="I227" s="42"/>
      <c r="J227" s="42"/>
      <c r="K227" s="42"/>
      <c r="L227" s="42"/>
      <c r="M227" s="42"/>
      <c r="N227" s="42"/>
      <c r="O227" s="42"/>
      <c r="P227" s="42"/>
      <c r="Q227" s="42"/>
      <c r="R227" s="42"/>
      <c r="S227" s="42"/>
      <c r="T227" s="42"/>
      <c r="V227" s="42"/>
      <c r="W227" s="42"/>
      <c r="Y227" s="42"/>
      <c r="Z227" s="42"/>
    </row>
    <row r="228" spans="1:26" x14ac:dyDescent="0.2">
      <c r="A228" s="42"/>
      <c r="B228" s="42"/>
      <c r="C228" s="42"/>
      <c r="D228" s="42"/>
      <c r="E228" s="42"/>
      <c r="F228" s="42"/>
      <c r="G228" s="42"/>
      <c r="H228" s="42"/>
      <c r="I228" s="42"/>
      <c r="J228" s="42"/>
      <c r="K228" s="42"/>
      <c r="L228" s="42"/>
      <c r="M228" s="42"/>
      <c r="N228" s="42"/>
      <c r="O228" s="42"/>
      <c r="P228" s="42"/>
      <c r="Q228" s="42"/>
      <c r="R228" s="42"/>
      <c r="S228" s="42"/>
      <c r="T228" s="42"/>
      <c r="V228" s="42"/>
      <c r="W228" s="42"/>
      <c r="Y228" s="42"/>
      <c r="Z228" s="42"/>
    </row>
    <row r="229" spans="1:26" x14ac:dyDescent="0.2">
      <c r="A229" s="42"/>
      <c r="B229" s="42"/>
      <c r="C229" s="42"/>
      <c r="D229" s="42"/>
      <c r="E229" s="42"/>
      <c r="F229" s="42"/>
      <c r="G229" s="42"/>
      <c r="H229" s="42"/>
      <c r="I229" s="42"/>
      <c r="J229" s="42"/>
      <c r="K229" s="42"/>
      <c r="L229" s="42"/>
      <c r="M229" s="42"/>
      <c r="N229" s="42"/>
      <c r="O229" s="42"/>
      <c r="P229" s="42"/>
      <c r="Q229" s="42"/>
      <c r="R229" s="42"/>
      <c r="S229" s="42"/>
      <c r="T229" s="42"/>
      <c r="V229" s="42"/>
      <c r="W229" s="42"/>
      <c r="Y229" s="42"/>
      <c r="Z229" s="42"/>
    </row>
    <row r="230" spans="1:26" x14ac:dyDescent="0.2">
      <c r="A230" s="42"/>
      <c r="B230" s="42"/>
      <c r="C230" s="42"/>
      <c r="D230" s="42"/>
      <c r="E230" s="42"/>
      <c r="F230" s="42"/>
      <c r="G230" s="42"/>
      <c r="H230" s="42"/>
      <c r="I230" s="42"/>
      <c r="J230" s="42"/>
      <c r="K230" s="42"/>
      <c r="L230" s="42"/>
      <c r="M230" s="42"/>
      <c r="N230" s="42"/>
      <c r="O230" s="42"/>
      <c r="P230" s="42"/>
      <c r="Q230" s="42"/>
      <c r="R230" s="42"/>
      <c r="S230" s="42"/>
      <c r="T230" s="42"/>
      <c r="V230" s="42"/>
      <c r="W230" s="42"/>
      <c r="Y230" s="42"/>
      <c r="Z230" s="42"/>
    </row>
    <row r="231" spans="1:26" x14ac:dyDescent="0.2">
      <c r="J231" s="42"/>
      <c r="L231" s="42"/>
      <c r="N231" s="42"/>
      <c r="O231" s="42"/>
      <c r="Q231" s="42"/>
      <c r="R231" s="42"/>
      <c r="T231" s="42"/>
      <c r="W231" s="42"/>
      <c r="Z231" s="42"/>
    </row>
    <row r="232" spans="1:26" x14ac:dyDescent="0.2">
      <c r="O232" s="42"/>
      <c r="R232" s="42"/>
    </row>
  </sheetData>
  <mergeCells count="132">
    <mergeCell ref="B2:N2"/>
    <mergeCell ref="B3:N3"/>
    <mergeCell ref="B4:N4"/>
    <mergeCell ref="B5:N5"/>
    <mergeCell ref="B6:N6"/>
    <mergeCell ref="C7:E7"/>
    <mergeCell ref="F7:N7"/>
    <mergeCell ref="C8:E8"/>
    <mergeCell ref="F8:N8"/>
    <mergeCell ref="B10:N10"/>
    <mergeCell ref="C11:E11"/>
    <mergeCell ref="F11:N11"/>
    <mergeCell ref="C13:E13"/>
    <mergeCell ref="F13:N13"/>
    <mergeCell ref="C12:E12"/>
    <mergeCell ref="F12:N12"/>
    <mergeCell ref="C14:E14"/>
    <mergeCell ref="F14:N14"/>
    <mergeCell ref="C15:E15"/>
    <mergeCell ref="F15:N15"/>
    <mergeCell ref="B17:N17"/>
    <mergeCell ref="B18:C18"/>
    <mergeCell ref="E18:G18"/>
    <mergeCell ref="H18:N18"/>
    <mergeCell ref="B19:C19"/>
    <mergeCell ref="E19:G19"/>
    <mergeCell ref="H19:N19"/>
    <mergeCell ref="B20:N20"/>
    <mergeCell ref="B21:N22"/>
    <mergeCell ref="C23:E23"/>
    <mergeCell ref="F23:N23"/>
    <mergeCell ref="C24:E24"/>
    <mergeCell ref="F24:N24"/>
    <mergeCell ref="C25:E25"/>
    <mergeCell ref="F25:N25"/>
    <mergeCell ref="C26:E26"/>
    <mergeCell ref="F26:N26"/>
    <mergeCell ref="B28:N28"/>
    <mergeCell ref="C29:D29"/>
    <mergeCell ref="C30:D30"/>
    <mergeCell ref="C31:D31"/>
    <mergeCell ref="C32:D32"/>
    <mergeCell ref="C33:D33"/>
    <mergeCell ref="C34:D34"/>
    <mergeCell ref="C35:D35"/>
    <mergeCell ref="C36:D36"/>
    <mergeCell ref="C37:E37"/>
    <mergeCell ref="B39:N39"/>
    <mergeCell ref="B40:N40"/>
    <mergeCell ref="C41:E41"/>
    <mergeCell ref="C42:D42"/>
    <mergeCell ref="C43:D43"/>
    <mergeCell ref="B44:D44"/>
    <mergeCell ref="B46:N46"/>
    <mergeCell ref="C47:D47"/>
    <mergeCell ref="C48:D48"/>
    <mergeCell ref="C49:D49"/>
    <mergeCell ref="C50:D50"/>
    <mergeCell ref="C51:D51"/>
    <mergeCell ref="C52:D52"/>
    <mergeCell ref="C53:D53"/>
    <mergeCell ref="C54:D54"/>
    <mergeCell ref="C55:D55"/>
    <mergeCell ref="B56:D56"/>
    <mergeCell ref="B58:N58"/>
    <mergeCell ref="C59:D59"/>
    <mergeCell ref="C60:D60"/>
    <mergeCell ref="C61:D61"/>
    <mergeCell ref="C62:D62"/>
    <mergeCell ref="C63:D63"/>
    <mergeCell ref="B64:E64"/>
    <mergeCell ref="B66:N66"/>
    <mergeCell ref="C67:D67"/>
    <mergeCell ref="C68:D68"/>
    <mergeCell ref="C69:D69"/>
    <mergeCell ref="C70:D70"/>
    <mergeCell ref="B71:D71"/>
    <mergeCell ref="B73:N73"/>
    <mergeCell ref="C74:D74"/>
    <mergeCell ref="C75:D75"/>
    <mergeCell ref="C76:D76"/>
    <mergeCell ref="C77:D77"/>
    <mergeCell ref="C78:D78"/>
    <mergeCell ref="C79:D79"/>
    <mergeCell ref="C80:D80"/>
    <mergeCell ref="B81:D81"/>
    <mergeCell ref="B83:N83"/>
    <mergeCell ref="B84:N84"/>
    <mergeCell ref="C85:D85"/>
    <mergeCell ref="C86:D86"/>
    <mergeCell ref="C87:D87"/>
    <mergeCell ref="C88:D88"/>
    <mergeCell ref="C89:D89"/>
    <mergeCell ref="C90:D90"/>
    <mergeCell ref="C91:D91"/>
    <mergeCell ref="B92:D92"/>
    <mergeCell ref="B94:N94"/>
    <mergeCell ref="C95:D95"/>
    <mergeCell ref="C96:D96"/>
    <mergeCell ref="B97:E97"/>
    <mergeCell ref="B99:N99"/>
    <mergeCell ref="C100:D100"/>
    <mergeCell ref="C101:D101"/>
    <mergeCell ref="C102:D102"/>
    <mergeCell ref="B103:D103"/>
    <mergeCell ref="B105:N105"/>
    <mergeCell ref="C106:D106"/>
    <mergeCell ref="C107:D107"/>
    <mergeCell ref="C108:D108"/>
    <mergeCell ref="C109:D109"/>
    <mergeCell ref="C110:D110"/>
    <mergeCell ref="C111:E111"/>
    <mergeCell ref="B113:N113"/>
    <mergeCell ref="C114:D114"/>
    <mergeCell ref="C115:D115"/>
    <mergeCell ref="D127:E127"/>
    <mergeCell ref="C116:D116"/>
    <mergeCell ref="C117:D117"/>
    <mergeCell ref="C118:D118"/>
    <mergeCell ref="C119:D119"/>
    <mergeCell ref="C120:D120"/>
    <mergeCell ref="C121:E121"/>
    <mergeCell ref="D128:E128"/>
    <mergeCell ref="B122:F122"/>
    <mergeCell ref="D129:E129"/>
    <mergeCell ref="C130:E130"/>
    <mergeCell ref="D131:E131"/>
    <mergeCell ref="C132:E132"/>
    <mergeCell ref="B123:N123"/>
    <mergeCell ref="C124:E124"/>
    <mergeCell ref="D125:E125"/>
    <mergeCell ref="D126:E126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55" fitToHeight="0" orientation="portrait" r:id="rId1"/>
  <rowBreaks count="1" manualBreakCount="1">
    <brk id="71" min="1" max="9" man="1"/>
  </rowBreaks>
  <colBreaks count="1" manualBreakCount="1">
    <brk id="2" min="1" max="130" man="1"/>
  </col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AA8EF4-E4E6-4DF5-A8F5-09C3CE7F1613}">
  <sheetPr>
    <pageSetUpPr fitToPage="1"/>
  </sheetPr>
  <dimension ref="A1:W232"/>
  <sheetViews>
    <sheetView view="pageBreakPreview" topLeftCell="E8" zoomScaleNormal="100" zoomScaleSheetLayoutView="100" workbookViewId="0">
      <selection activeCell="N125" sqref="N125:N131"/>
    </sheetView>
  </sheetViews>
  <sheetFormatPr defaultRowHeight="12.75" x14ac:dyDescent="0.2"/>
  <cols>
    <col min="1" max="1" width="2.42578125" style="68" customWidth="1"/>
    <col min="2" max="2" width="5.42578125" style="68" customWidth="1"/>
    <col min="3" max="3" width="10.140625" style="68" customWidth="1"/>
    <col min="4" max="4" width="40.42578125" style="68" customWidth="1"/>
    <col min="5" max="5" width="9.7109375" style="68" customWidth="1"/>
    <col min="6" max="6" width="16.140625" style="68" customWidth="1"/>
    <col min="7" max="7" width="9.7109375" style="68" customWidth="1"/>
    <col min="8" max="8" width="16.140625" style="68" customWidth="1"/>
    <col min="9" max="9" width="9.7109375" style="68" customWidth="1"/>
    <col min="10" max="10" width="16.140625" style="68" customWidth="1"/>
    <col min="11" max="11" width="9.7109375" style="68" customWidth="1"/>
    <col min="12" max="12" width="16.140625" style="68" customWidth="1"/>
    <col min="13" max="13" width="9.7109375" style="68" customWidth="1"/>
    <col min="14" max="14" width="16.140625" style="68" customWidth="1"/>
    <col min="15" max="15" width="9.5703125" style="68" bestFit="1" customWidth="1"/>
    <col min="16" max="16" width="9.7109375" style="68" customWidth="1"/>
    <col min="17" max="17" width="16.140625" style="68" customWidth="1"/>
    <col min="18" max="18" width="9.140625" style="68"/>
    <col min="19" max="19" width="11.85546875" style="68" customWidth="1"/>
    <col min="20" max="20" width="16.140625" style="68" customWidth="1"/>
    <col min="21" max="21" width="9.140625" style="68"/>
    <col min="22" max="22" width="9.7109375" style="68" customWidth="1"/>
    <col min="23" max="23" width="16.5703125" style="68" bestFit="1" customWidth="1"/>
    <col min="24" max="16384" width="9.140625" style="68"/>
  </cols>
  <sheetData>
    <row r="1" spans="1:23" ht="13.5" thickBot="1" x14ac:dyDescent="0.25">
      <c r="A1" s="42"/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</row>
    <row r="2" spans="1:23" ht="15" x14ac:dyDescent="0.25">
      <c r="A2" s="42"/>
      <c r="B2" s="363" t="s">
        <v>17</v>
      </c>
      <c r="C2" s="364"/>
      <c r="D2" s="364"/>
      <c r="E2" s="364"/>
      <c r="F2" s="364"/>
      <c r="G2" s="364"/>
      <c r="H2" s="364"/>
      <c r="I2" s="364"/>
      <c r="J2" s="364"/>
      <c r="K2" s="364"/>
      <c r="L2" s="364"/>
      <c r="M2" s="364"/>
      <c r="N2" s="365"/>
      <c r="O2" s="42"/>
      <c r="P2" s="42"/>
      <c r="Q2" s="42"/>
      <c r="R2" s="42"/>
      <c r="S2" s="42"/>
      <c r="T2" s="42"/>
      <c r="U2" s="42"/>
      <c r="V2" s="42"/>
      <c r="W2" s="42"/>
    </row>
    <row r="3" spans="1:23" ht="15" customHeight="1" x14ac:dyDescent="0.25">
      <c r="A3" s="42"/>
      <c r="B3" s="366" t="s">
        <v>70</v>
      </c>
      <c r="C3" s="367"/>
      <c r="D3" s="367"/>
      <c r="E3" s="367"/>
      <c r="F3" s="367"/>
      <c r="G3" s="367"/>
      <c r="H3" s="367"/>
      <c r="I3" s="367"/>
      <c r="J3" s="367"/>
      <c r="K3" s="367"/>
      <c r="L3" s="367"/>
      <c r="M3" s="367"/>
      <c r="N3" s="368"/>
      <c r="O3" s="42"/>
      <c r="P3" s="42"/>
      <c r="Q3" s="42"/>
      <c r="R3" s="42"/>
      <c r="S3" s="42"/>
      <c r="T3" s="42"/>
      <c r="U3" s="42"/>
      <c r="V3" s="42"/>
      <c r="W3" s="42"/>
    </row>
    <row r="4" spans="1:23" ht="15" customHeight="1" x14ac:dyDescent="0.25">
      <c r="A4" s="42"/>
      <c r="B4" s="366" t="s">
        <v>19</v>
      </c>
      <c r="C4" s="367"/>
      <c r="D4" s="367"/>
      <c r="E4" s="367"/>
      <c r="F4" s="367"/>
      <c r="G4" s="367"/>
      <c r="H4" s="367"/>
      <c r="I4" s="367"/>
      <c r="J4" s="367"/>
      <c r="K4" s="367"/>
      <c r="L4" s="367"/>
      <c r="M4" s="367"/>
      <c r="N4" s="368"/>
      <c r="O4" s="42"/>
      <c r="P4" s="42"/>
      <c r="Q4" s="42"/>
      <c r="R4" s="42"/>
      <c r="S4" s="42"/>
      <c r="T4" s="42"/>
      <c r="U4" s="42"/>
      <c r="V4" s="42"/>
      <c r="W4" s="42"/>
    </row>
    <row r="5" spans="1:23" ht="15.75" thickBot="1" x14ac:dyDescent="0.3">
      <c r="A5" s="42"/>
      <c r="B5" s="366" t="s">
        <v>126</v>
      </c>
      <c r="C5" s="367"/>
      <c r="D5" s="367"/>
      <c r="E5" s="367"/>
      <c r="F5" s="367"/>
      <c r="G5" s="367"/>
      <c r="H5" s="367"/>
      <c r="I5" s="367"/>
      <c r="J5" s="367"/>
      <c r="K5" s="367"/>
      <c r="L5" s="367"/>
      <c r="M5" s="367"/>
      <c r="N5" s="368"/>
      <c r="O5" s="42"/>
      <c r="P5" s="42"/>
      <c r="Q5" s="42"/>
      <c r="R5" s="42"/>
      <c r="S5" s="42"/>
      <c r="T5" s="42"/>
      <c r="U5" s="42"/>
      <c r="V5" s="42"/>
      <c r="W5" s="42"/>
    </row>
    <row r="6" spans="1:23" ht="15.75" thickBot="1" x14ac:dyDescent="0.3">
      <c r="A6" s="42"/>
      <c r="B6" s="369" t="s">
        <v>32</v>
      </c>
      <c r="C6" s="370"/>
      <c r="D6" s="370"/>
      <c r="E6" s="370"/>
      <c r="F6" s="370"/>
      <c r="G6" s="370"/>
      <c r="H6" s="370"/>
      <c r="I6" s="370"/>
      <c r="J6" s="370"/>
      <c r="K6" s="370"/>
      <c r="L6" s="370"/>
      <c r="M6" s="370"/>
      <c r="N6" s="371"/>
      <c r="O6" s="42"/>
      <c r="P6" s="42"/>
      <c r="Q6" s="42"/>
      <c r="R6" s="42"/>
      <c r="S6" s="42"/>
      <c r="T6" s="42"/>
      <c r="U6" s="42"/>
      <c r="V6" s="42"/>
      <c r="W6" s="42"/>
    </row>
    <row r="7" spans="1:23" ht="15.75" thickBot="1" x14ac:dyDescent="0.3">
      <c r="A7" s="42"/>
      <c r="B7" s="41"/>
      <c r="C7" s="372" t="s">
        <v>20</v>
      </c>
      <c r="D7" s="373"/>
      <c r="E7" s="374"/>
      <c r="F7" s="375" t="s">
        <v>221</v>
      </c>
      <c r="G7" s="376"/>
      <c r="H7" s="376"/>
      <c r="I7" s="376"/>
      <c r="J7" s="376"/>
      <c r="K7" s="376"/>
      <c r="L7" s="376"/>
      <c r="M7" s="376"/>
      <c r="N7" s="377"/>
      <c r="O7" s="42"/>
      <c r="P7" s="42"/>
      <c r="Q7" s="42"/>
      <c r="R7" s="42"/>
      <c r="S7" s="42"/>
      <c r="T7" s="42"/>
      <c r="U7" s="42"/>
      <c r="V7" s="42"/>
      <c r="W7" s="42"/>
    </row>
    <row r="8" spans="1:23" ht="15.75" thickBot="1" x14ac:dyDescent="0.3">
      <c r="A8" s="42"/>
      <c r="B8" s="69"/>
      <c r="C8" s="395" t="s">
        <v>72</v>
      </c>
      <c r="D8" s="396"/>
      <c r="E8" s="397"/>
      <c r="F8" s="398" t="s">
        <v>222</v>
      </c>
      <c r="G8" s="399"/>
      <c r="H8" s="399"/>
      <c r="I8" s="399"/>
      <c r="J8" s="399"/>
      <c r="K8" s="399"/>
      <c r="L8" s="399"/>
      <c r="M8" s="399"/>
      <c r="N8" s="400"/>
      <c r="O8" s="42"/>
      <c r="P8" s="42"/>
      <c r="Q8" s="42"/>
      <c r="R8" s="42"/>
      <c r="S8" s="42"/>
      <c r="T8" s="42"/>
      <c r="U8" s="42"/>
      <c r="V8" s="42"/>
      <c r="W8" s="42"/>
    </row>
    <row r="9" spans="1:23" ht="15" thickBot="1" x14ac:dyDescent="0.25">
      <c r="A9" s="42"/>
      <c r="B9" s="42"/>
      <c r="C9" s="1"/>
      <c r="D9" s="42"/>
      <c r="E9" s="42"/>
      <c r="F9" s="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</row>
    <row r="10" spans="1:23" ht="15.75" thickBot="1" x14ac:dyDescent="0.3">
      <c r="A10" s="42"/>
      <c r="B10" s="363" t="s">
        <v>33</v>
      </c>
      <c r="C10" s="364"/>
      <c r="D10" s="364"/>
      <c r="E10" s="364"/>
      <c r="F10" s="364"/>
      <c r="G10" s="364"/>
      <c r="H10" s="364"/>
      <c r="I10" s="364"/>
      <c r="J10" s="364"/>
      <c r="K10" s="364"/>
      <c r="L10" s="364"/>
      <c r="M10" s="364"/>
      <c r="N10" s="365"/>
      <c r="O10" s="42"/>
      <c r="P10" s="42"/>
      <c r="Q10" s="42"/>
      <c r="R10" s="42"/>
      <c r="S10" s="42"/>
      <c r="T10" s="42"/>
      <c r="U10" s="42"/>
      <c r="V10" s="42"/>
      <c r="W10" s="42"/>
    </row>
    <row r="11" spans="1:23" x14ac:dyDescent="0.2">
      <c r="A11" s="42"/>
      <c r="B11" s="70" t="s">
        <v>1</v>
      </c>
      <c r="C11" s="401" t="s">
        <v>21</v>
      </c>
      <c r="D11" s="402"/>
      <c r="E11" s="402"/>
      <c r="F11" s="403">
        <v>43969</v>
      </c>
      <c r="G11" s="404"/>
      <c r="H11" s="404"/>
      <c r="I11" s="404"/>
      <c r="J11" s="404"/>
      <c r="K11" s="404"/>
      <c r="L11" s="404"/>
      <c r="M11" s="404"/>
      <c r="N11" s="405"/>
      <c r="O11" s="42"/>
      <c r="P11" s="42"/>
      <c r="Q11" s="42"/>
      <c r="R11" s="42"/>
      <c r="S11" s="42"/>
      <c r="T11" s="42"/>
      <c r="U11" s="42"/>
      <c r="V11" s="42"/>
      <c r="W11" s="42"/>
    </row>
    <row r="12" spans="1:23" x14ac:dyDescent="0.2">
      <c r="A12" s="42"/>
      <c r="B12" s="197" t="s">
        <v>2</v>
      </c>
      <c r="C12" s="378" t="s">
        <v>244</v>
      </c>
      <c r="D12" s="379"/>
      <c r="E12" s="379"/>
      <c r="F12" s="380">
        <v>45450</v>
      </c>
      <c r="G12" s="407"/>
      <c r="H12" s="407"/>
      <c r="I12" s="407"/>
      <c r="J12" s="407"/>
      <c r="K12" s="407"/>
      <c r="L12" s="407"/>
      <c r="M12" s="407"/>
      <c r="N12" s="408"/>
      <c r="O12" s="42"/>
      <c r="P12" s="42"/>
      <c r="Q12" s="42"/>
      <c r="R12" s="42"/>
      <c r="S12" s="42"/>
      <c r="T12" s="42"/>
      <c r="U12" s="42"/>
      <c r="V12" s="42"/>
      <c r="W12" s="42"/>
    </row>
    <row r="13" spans="1:23" x14ac:dyDescent="0.2">
      <c r="A13" s="42"/>
      <c r="B13" s="71" t="s">
        <v>4</v>
      </c>
      <c r="C13" s="378" t="s">
        <v>3</v>
      </c>
      <c r="D13" s="379"/>
      <c r="E13" s="379"/>
      <c r="F13" s="406" t="s">
        <v>75</v>
      </c>
      <c r="G13" s="407"/>
      <c r="H13" s="407"/>
      <c r="I13" s="407"/>
      <c r="J13" s="407"/>
      <c r="K13" s="407"/>
      <c r="L13" s="407"/>
      <c r="M13" s="407"/>
      <c r="N13" s="408"/>
      <c r="O13" s="42"/>
      <c r="P13" s="42"/>
      <c r="Q13" s="42"/>
      <c r="R13" s="42"/>
      <c r="S13" s="42"/>
      <c r="T13" s="42"/>
      <c r="U13" s="42"/>
      <c r="V13" s="42"/>
      <c r="W13" s="42"/>
    </row>
    <row r="14" spans="1:23" x14ac:dyDescent="0.2">
      <c r="A14" s="42"/>
      <c r="B14" s="71" t="s">
        <v>5</v>
      </c>
      <c r="C14" s="378" t="s">
        <v>22</v>
      </c>
      <c r="D14" s="379"/>
      <c r="E14" s="379"/>
      <c r="F14" s="380" t="s">
        <v>294</v>
      </c>
      <c r="G14" s="381"/>
      <c r="H14" s="381"/>
      <c r="I14" s="381"/>
      <c r="J14" s="381"/>
      <c r="K14" s="381"/>
      <c r="L14" s="381"/>
      <c r="M14" s="381"/>
      <c r="N14" s="382"/>
      <c r="O14" s="42"/>
      <c r="P14" s="42"/>
      <c r="Q14" s="42"/>
      <c r="R14" s="42"/>
      <c r="S14" s="42"/>
      <c r="T14" s="42"/>
      <c r="U14" s="42"/>
      <c r="V14" s="42"/>
      <c r="W14" s="42"/>
    </row>
    <row r="15" spans="1:23" ht="13.5" thickBot="1" x14ac:dyDescent="0.25">
      <c r="A15" s="42"/>
      <c r="B15" s="72" t="s">
        <v>6</v>
      </c>
      <c r="C15" s="383" t="s">
        <v>23</v>
      </c>
      <c r="D15" s="384"/>
      <c r="E15" s="384"/>
      <c r="F15" s="385">
        <v>12</v>
      </c>
      <c r="G15" s="386"/>
      <c r="H15" s="386"/>
      <c r="I15" s="386"/>
      <c r="J15" s="386"/>
      <c r="K15" s="386"/>
      <c r="L15" s="386"/>
      <c r="M15" s="386"/>
      <c r="N15" s="387"/>
      <c r="O15" s="42"/>
      <c r="P15" s="42"/>
      <c r="Q15" s="42"/>
      <c r="R15" s="42"/>
      <c r="S15" s="42"/>
      <c r="T15" s="42"/>
      <c r="U15" s="42"/>
      <c r="V15" s="42"/>
      <c r="W15" s="42"/>
    </row>
    <row r="16" spans="1:23" x14ac:dyDescent="0.2">
      <c r="A16" s="42"/>
      <c r="B16" s="73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</row>
    <row r="17" spans="1:23" ht="15.75" thickBot="1" x14ac:dyDescent="0.3">
      <c r="A17" s="42"/>
      <c r="B17" s="367" t="s">
        <v>34</v>
      </c>
      <c r="C17" s="367"/>
      <c r="D17" s="367"/>
      <c r="E17" s="367"/>
      <c r="F17" s="367"/>
      <c r="G17" s="367"/>
      <c r="H17" s="367"/>
      <c r="I17" s="367"/>
      <c r="J17" s="367"/>
      <c r="K17" s="367"/>
      <c r="L17" s="367"/>
      <c r="M17" s="367"/>
      <c r="N17" s="367"/>
      <c r="O17" s="42"/>
      <c r="P17" s="42"/>
      <c r="Q17" s="42"/>
      <c r="R17" s="42"/>
      <c r="S17" s="42"/>
      <c r="T17" s="42"/>
      <c r="U17" s="42"/>
      <c r="V17" s="42"/>
      <c r="W17" s="42"/>
    </row>
    <row r="18" spans="1:23" ht="13.5" thickBot="1" x14ac:dyDescent="0.25">
      <c r="A18" s="42"/>
      <c r="B18" s="388" t="s">
        <v>24</v>
      </c>
      <c r="C18" s="373"/>
      <c r="D18" s="15" t="s">
        <v>25</v>
      </c>
      <c r="E18" s="389" t="s">
        <v>26</v>
      </c>
      <c r="F18" s="390"/>
      <c r="G18" s="391"/>
      <c r="H18" s="392" t="s">
        <v>62</v>
      </c>
      <c r="I18" s="393"/>
      <c r="J18" s="393"/>
      <c r="K18" s="393"/>
      <c r="L18" s="393"/>
      <c r="M18" s="393"/>
      <c r="N18" s="394"/>
      <c r="O18" s="42"/>
      <c r="P18" s="42"/>
      <c r="Q18" s="42"/>
      <c r="R18" s="42"/>
      <c r="S18" s="42"/>
      <c r="T18" s="42"/>
      <c r="U18" s="42"/>
      <c r="V18" s="42"/>
      <c r="W18" s="42"/>
    </row>
    <row r="19" spans="1:23" x14ac:dyDescent="0.2">
      <c r="A19" s="42"/>
      <c r="B19" s="422" t="s">
        <v>226</v>
      </c>
      <c r="C19" s="423"/>
      <c r="D19" s="140" t="s">
        <v>66</v>
      </c>
      <c r="E19" s="424">
        <v>6</v>
      </c>
      <c r="F19" s="424"/>
      <c r="G19" s="424"/>
      <c r="H19" s="425">
        <v>1</v>
      </c>
      <c r="I19" s="426"/>
      <c r="J19" s="426"/>
      <c r="K19" s="426"/>
      <c r="L19" s="426"/>
      <c r="M19" s="426"/>
      <c r="N19" s="427"/>
      <c r="O19" s="42"/>
      <c r="P19" s="42"/>
      <c r="Q19" s="42"/>
      <c r="R19" s="42"/>
      <c r="S19" s="42"/>
      <c r="T19" s="42"/>
      <c r="U19" s="42"/>
      <c r="V19" s="42"/>
      <c r="W19" s="42"/>
    </row>
    <row r="20" spans="1:23" ht="13.5" thickBot="1" x14ac:dyDescent="0.25">
      <c r="A20" s="42"/>
      <c r="B20" s="383"/>
      <c r="C20" s="384"/>
      <c r="D20" s="384"/>
      <c r="E20" s="384"/>
      <c r="F20" s="384"/>
      <c r="G20" s="384"/>
      <c r="H20" s="384"/>
      <c r="I20" s="384"/>
      <c r="J20" s="384"/>
      <c r="K20" s="384"/>
      <c r="L20" s="384"/>
      <c r="M20" s="384"/>
      <c r="N20" s="451"/>
      <c r="O20" s="42" t="s">
        <v>71</v>
      </c>
      <c r="P20" s="42"/>
      <c r="Q20" s="42"/>
      <c r="R20" s="42"/>
      <c r="S20" s="42"/>
      <c r="T20" s="42"/>
      <c r="U20" s="42"/>
      <c r="V20" s="42"/>
      <c r="W20" s="42"/>
    </row>
    <row r="21" spans="1:23" ht="12.75" customHeight="1" x14ac:dyDescent="0.2">
      <c r="A21" s="42"/>
      <c r="B21" s="431" t="s">
        <v>27</v>
      </c>
      <c r="C21" s="431"/>
      <c r="D21" s="431"/>
      <c r="E21" s="431"/>
      <c r="F21" s="431"/>
      <c r="G21" s="431"/>
      <c r="H21" s="431"/>
      <c r="I21" s="431"/>
      <c r="J21" s="431"/>
      <c r="K21" s="431"/>
      <c r="L21" s="431"/>
      <c r="M21" s="431"/>
      <c r="N21" s="431"/>
      <c r="O21" s="42"/>
      <c r="P21" s="42"/>
      <c r="Q21" s="42"/>
      <c r="R21" s="42"/>
      <c r="S21" s="42"/>
      <c r="T21" s="42"/>
      <c r="U21" s="42"/>
      <c r="V21" s="42"/>
      <c r="W21" s="42"/>
    </row>
    <row r="22" spans="1:23" ht="13.5" customHeight="1" thickBot="1" x14ac:dyDescent="0.25">
      <c r="A22" s="42"/>
      <c r="B22" s="431"/>
      <c r="C22" s="431"/>
      <c r="D22" s="431"/>
      <c r="E22" s="431"/>
      <c r="F22" s="431"/>
      <c r="G22" s="431"/>
      <c r="H22" s="431"/>
      <c r="I22" s="431"/>
      <c r="J22" s="431"/>
      <c r="K22" s="431"/>
      <c r="L22" s="431"/>
      <c r="M22" s="431"/>
      <c r="N22" s="431"/>
      <c r="O22" s="42"/>
      <c r="P22" s="42"/>
      <c r="Q22" s="42"/>
      <c r="R22" s="42"/>
      <c r="S22" s="42"/>
      <c r="T22" s="42"/>
      <c r="U22" s="42"/>
      <c r="V22" s="42"/>
      <c r="W22" s="42"/>
    </row>
    <row r="23" spans="1:23" x14ac:dyDescent="0.2">
      <c r="A23" s="42"/>
      <c r="B23" s="74">
        <v>1</v>
      </c>
      <c r="C23" s="432" t="s">
        <v>28</v>
      </c>
      <c r="D23" s="433"/>
      <c r="E23" s="434"/>
      <c r="F23" s="435" t="str">
        <f>B19</f>
        <v>Vigilante Diurno 44h Desarmado</v>
      </c>
      <c r="G23" s="436"/>
      <c r="H23" s="436"/>
      <c r="I23" s="436"/>
      <c r="J23" s="436"/>
      <c r="K23" s="436"/>
      <c r="L23" s="436"/>
      <c r="M23" s="436"/>
      <c r="N23" s="437"/>
      <c r="O23" s="42"/>
      <c r="P23" s="42"/>
      <c r="Q23" s="42"/>
      <c r="R23" s="42"/>
      <c r="S23" s="42"/>
      <c r="T23" s="42"/>
      <c r="U23" s="42"/>
      <c r="V23" s="42"/>
      <c r="W23" s="42"/>
    </row>
    <row r="24" spans="1:23" x14ac:dyDescent="0.2">
      <c r="A24" s="42"/>
      <c r="B24" s="75">
        <v>2</v>
      </c>
      <c r="C24" s="409" t="s">
        <v>29</v>
      </c>
      <c r="D24" s="410"/>
      <c r="E24" s="411"/>
      <c r="F24" s="412">
        <v>2723.41</v>
      </c>
      <c r="G24" s="413"/>
      <c r="H24" s="413"/>
      <c r="I24" s="413"/>
      <c r="J24" s="413"/>
      <c r="K24" s="413"/>
      <c r="L24" s="413"/>
      <c r="M24" s="413"/>
      <c r="N24" s="414"/>
      <c r="O24" s="42"/>
      <c r="P24" s="42"/>
      <c r="Q24" s="42"/>
      <c r="R24" s="42"/>
      <c r="S24" s="42"/>
      <c r="T24" s="42"/>
      <c r="U24" s="42"/>
      <c r="V24" s="42"/>
      <c r="W24" s="42"/>
    </row>
    <row r="25" spans="1:23" x14ac:dyDescent="0.2">
      <c r="A25" s="42"/>
      <c r="B25" s="75">
        <v>3</v>
      </c>
      <c r="C25" s="409" t="s">
        <v>30</v>
      </c>
      <c r="D25" s="410"/>
      <c r="E25" s="411"/>
      <c r="F25" s="409"/>
      <c r="G25" s="410"/>
      <c r="H25" s="410"/>
      <c r="I25" s="410"/>
      <c r="J25" s="410"/>
      <c r="K25" s="410"/>
      <c r="L25" s="410"/>
      <c r="M25" s="410"/>
      <c r="N25" s="415"/>
      <c r="O25" s="42"/>
      <c r="P25" s="42"/>
      <c r="Q25" s="42"/>
      <c r="R25" s="42"/>
      <c r="S25" s="42"/>
      <c r="T25" s="42"/>
      <c r="U25" s="42"/>
      <c r="V25" s="42"/>
      <c r="W25" s="42"/>
    </row>
    <row r="26" spans="1:23" ht="13.5" thickBot="1" x14ac:dyDescent="0.25">
      <c r="A26" s="42"/>
      <c r="B26" s="76">
        <v>4</v>
      </c>
      <c r="C26" s="416" t="s">
        <v>9</v>
      </c>
      <c r="D26" s="417"/>
      <c r="E26" s="418"/>
      <c r="F26" s="419" t="s">
        <v>293</v>
      </c>
      <c r="G26" s="420"/>
      <c r="H26" s="420"/>
      <c r="I26" s="420"/>
      <c r="J26" s="420"/>
      <c r="K26" s="420"/>
      <c r="L26" s="420"/>
      <c r="M26" s="420"/>
      <c r="N26" s="421"/>
      <c r="O26" s="42"/>
      <c r="P26" s="42"/>
      <c r="Q26" s="42"/>
      <c r="R26" s="42"/>
      <c r="S26" s="42"/>
      <c r="T26" s="42"/>
      <c r="U26" s="42"/>
      <c r="V26" s="42"/>
      <c r="W26" s="42"/>
    </row>
    <row r="27" spans="1:23" ht="13.5" thickBot="1" x14ac:dyDescent="0.25">
      <c r="A27" s="42"/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</row>
    <row r="28" spans="1:23" ht="15.75" thickBot="1" x14ac:dyDescent="0.3">
      <c r="A28" s="42"/>
      <c r="B28" s="369" t="s">
        <v>82</v>
      </c>
      <c r="C28" s="370"/>
      <c r="D28" s="370"/>
      <c r="E28" s="370"/>
      <c r="F28" s="370"/>
      <c r="G28" s="370"/>
      <c r="H28" s="370"/>
      <c r="I28" s="370"/>
      <c r="J28" s="370"/>
      <c r="K28" s="370"/>
      <c r="L28" s="370"/>
      <c r="M28" s="370"/>
      <c r="N28" s="371"/>
      <c r="O28" s="42"/>
      <c r="P28" s="42"/>
      <c r="Q28" s="42"/>
      <c r="R28" s="42"/>
      <c r="S28" s="42"/>
      <c r="T28" s="42"/>
      <c r="U28" s="42"/>
      <c r="V28" s="42"/>
      <c r="W28" s="42"/>
    </row>
    <row r="29" spans="1:23" ht="28.5" customHeight="1" thickBot="1" x14ac:dyDescent="0.3">
      <c r="A29" s="42"/>
      <c r="B29" s="65">
        <v>1</v>
      </c>
      <c r="C29" s="441" t="s">
        <v>57</v>
      </c>
      <c r="D29" s="442"/>
      <c r="E29" s="86"/>
      <c r="F29" s="66" t="s">
        <v>245</v>
      </c>
      <c r="G29" s="86"/>
      <c r="H29" s="202" t="s">
        <v>243</v>
      </c>
      <c r="I29" s="86"/>
      <c r="J29" s="202" t="s">
        <v>242</v>
      </c>
      <c r="K29" s="86"/>
      <c r="L29" s="202" t="s">
        <v>270</v>
      </c>
      <c r="M29" s="86"/>
      <c r="N29" s="202" t="s">
        <v>292</v>
      </c>
      <c r="O29" s="42"/>
      <c r="P29" s="86"/>
      <c r="Q29" s="202" t="s">
        <v>271</v>
      </c>
      <c r="R29" s="42"/>
      <c r="S29" s="86"/>
      <c r="T29" s="202" t="s">
        <v>277</v>
      </c>
      <c r="U29" s="42"/>
      <c r="V29" s="86"/>
      <c r="W29" s="262" t="s">
        <v>272</v>
      </c>
    </row>
    <row r="30" spans="1:23" x14ac:dyDescent="0.2">
      <c r="A30" s="42"/>
      <c r="B30" s="74" t="s">
        <v>1</v>
      </c>
      <c r="C30" s="443" t="s">
        <v>31</v>
      </c>
      <c r="D30" s="444"/>
      <c r="E30" s="77"/>
      <c r="F30" s="78">
        <v>2192.65</v>
      </c>
      <c r="G30" s="32"/>
      <c r="H30" s="33">
        <v>2258.4299999999998</v>
      </c>
      <c r="I30" s="32"/>
      <c r="J30" s="33">
        <v>2450.39</v>
      </c>
      <c r="K30" s="32"/>
      <c r="L30" s="33">
        <v>2593.73</v>
      </c>
      <c r="M30" s="32"/>
      <c r="N30" s="309">
        <f>F24</f>
        <v>2723.41</v>
      </c>
      <c r="O30" s="42"/>
      <c r="P30" s="32"/>
      <c r="Q30" s="33">
        <v>2593.73</v>
      </c>
      <c r="R30" s="42"/>
      <c r="S30" s="32"/>
      <c r="T30" s="33">
        <v>2593.73</v>
      </c>
      <c r="U30" s="42"/>
      <c r="V30" s="32"/>
      <c r="W30" s="33">
        <v>0</v>
      </c>
    </row>
    <row r="31" spans="1:23" x14ac:dyDescent="0.2">
      <c r="A31" s="42"/>
      <c r="B31" s="75" t="s">
        <v>2</v>
      </c>
      <c r="C31" s="409" t="s">
        <v>73</v>
      </c>
      <c r="D31" s="411"/>
      <c r="E31" s="51">
        <v>0.3</v>
      </c>
      <c r="F31" s="35">
        <f>F30*E31</f>
        <v>657.79499999999996</v>
      </c>
      <c r="G31" s="34">
        <v>0.3</v>
      </c>
      <c r="H31" s="35">
        <f>H30*G31</f>
        <v>677.52899999999988</v>
      </c>
      <c r="I31" s="36">
        <v>0.3</v>
      </c>
      <c r="J31" s="37">
        <f>J30*I31</f>
        <v>735.11699999999996</v>
      </c>
      <c r="K31" s="36">
        <v>0.3</v>
      </c>
      <c r="L31" s="37">
        <f>L30*K31</f>
        <v>778.11900000000003</v>
      </c>
      <c r="M31" s="36">
        <v>0.3</v>
      </c>
      <c r="N31" s="37">
        <f>N30*M31</f>
        <v>817.02299999999991</v>
      </c>
      <c r="O31" s="42"/>
      <c r="P31" s="36">
        <v>0.3</v>
      </c>
      <c r="Q31" s="37">
        <f>Q30*P31</f>
        <v>778.11900000000003</v>
      </c>
      <c r="R31" s="42"/>
      <c r="S31" s="36">
        <v>0.3</v>
      </c>
      <c r="T31" s="37">
        <f>T30*S31</f>
        <v>778.11900000000003</v>
      </c>
      <c r="U31" s="42"/>
      <c r="V31" s="36">
        <v>0.3</v>
      </c>
      <c r="W31" s="37">
        <f>W30*V31</f>
        <v>0</v>
      </c>
    </row>
    <row r="32" spans="1:23" x14ac:dyDescent="0.2">
      <c r="A32" s="42"/>
      <c r="B32" s="75" t="s">
        <v>4</v>
      </c>
      <c r="C32" s="409" t="s">
        <v>74</v>
      </c>
      <c r="D32" s="411"/>
      <c r="E32" s="51"/>
      <c r="F32" s="35"/>
      <c r="G32" s="34"/>
      <c r="H32" s="35"/>
      <c r="I32" s="36"/>
      <c r="J32" s="38"/>
      <c r="K32" s="36"/>
      <c r="L32" s="38"/>
      <c r="M32" s="36"/>
      <c r="N32" s="38"/>
      <c r="O32" s="79"/>
      <c r="P32" s="36"/>
      <c r="Q32" s="38"/>
      <c r="R32" s="42"/>
      <c r="S32" s="36"/>
      <c r="T32" s="38"/>
      <c r="U32" s="42"/>
      <c r="V32" s="36"/>
      <c r="W32" s="38"/>
    </row>
    <row r="33" spans="1:23" x14ac:dyDescent="0.2">
      <c r="A33" s="42"/>
      <c r="B33" s="75" t="s">
        <v>5</v>
      </c>
      <c r="C33" s="409" t="s">
        <v>10</v>
      </c>
      <c r="D33" s="411"/>
      <c r="E33" s="141"/>
      <c r="F33" s="35"/>
      <c r="G33" s="39"/>
      <c r="H33" s="37"/>
      <c r="I33" s="39"/>
      <c r="J33" s="38"/>
      <c r="K33" s="39"/>
      <c r="L33" s="38"/>
      <c r="M33" s="39"/>
      <c r="N33" s="38"/>
      <c r="O33" s="42"/>
      <c r="P33" s="39"/>
      <c r="Q33" s="38"/>
      <c r="R33" s="42"/>
      <c r="S33" s="188"/>
      <c r="T33" s="37"/>
      <c r="U33" s="42"/>
      <c r="V33" s="188">
        <v>0.2</v>
      </c>
      <c r="W33" s="37">
        <f>(W30+W31)/220*V33*7*15</f>
        <v>0</v>
      </c>
    </row>
    <row r="34" spans="1:23" x14ac:dyDescent="0.2">
      <c r="A34" s="42"/>
      <c r="B34" s="75" t="s">
        <v>6</v>
      </c>
      <c r="C34" s="409" t="s">
        <v>80</v>
      </c>
      <c r="D34" s="411"/>
      <c r="E34" s="141"/>
      <c r="F34" s="35"/>
      <c r="G34" s="39"/>
      <c r="H34" s="37"/>
      <c r="I34" s="39"/>
      <c r="J34" s="38"/>
      <c r="K34" s="39"/>
      <c r="L34" s="38"/>
      <c r="M34" s="39"/>
      <c r="N34" s="38"/>
      <c r="O34" s="42"/>
      <c r="P34" s="39"/>
      <c r="Q34" s="38"/>
      <c r="R34" s="42"/>
      <c r="S34" s="188"/>
      <c r="T34" s="37"/>
      <c r="U34" s="42"/>
      <c r="V34" s="188">
        <v>0.2</v>
      </c>
      <c r="W34" s="37">
        <f>(W30+W31)/220*V33*1*15</f>
        <v>0</v>
      </c>
    </row>
    <row r="35" spans="1:23" x14ac:dyDescent="0.2">
      <c r="A35" s="42"/>
      <c r="B35" s="75" t="s">
        <v>7</v>
      </c>
      <c r="C35" s="409" t="s">
        <v>81</v>
      </c>
      <c r="D35" s="411"/>
      <c r="E35" s="35"/>
      <c r="F35" s="35"/>
      <c r="G35" s="37"/>
      <c r="H35" s="37"/>
      <c r="I35" s="39"/>
      <c r="J35" s="38"/>
      <c r="K35" s="39"/>
      <c r="L35" s="38"/>
      <c r="M35" s="39"/>
      <c r="N35" s="38"/>
      <c r="O35" s="42"/>
      <c r="P35" s="39"/>
      <c r="Q35" s="38"/>
      <c r="R35" s="42"/>
      <c r="S35" s="39"/>
      <c r="T35" s="38"/>
      <c r="U35" s="42"/>
      <c r="V35" s="39"/>
      <c r="W35" s="38"/>
    </row>
    <row r="36" spans="1:23" ht="13.5" thickBot="1" x14ac:dyDescent="0.25">
      <c r="A36" s="42"/>
      <c r="B36" s="76" t="s">
        <v>12</v>
      </c>
      <c r="C36" s="416" t="s">
        <v>11</v>
      </c>
      <c r="D36" s="418"/>
      <c r="E36" s="40"/>
      <c r="F36" s="40"/>
      <c r="G36" s="40"/>
      <c r="H36" s="40"/>
      <c r="I36" s="40"/>
      <c r="J36" s="45"/>
      <c r="K36" s="40"/>
      <c r="L36" s="45"/>
      <c r="M36" s="40"/>
      <c r="N36" s="45"/>
      <c r="O36" s="42"/>
      <c r="P36" s="40"/>
      <c r="Q36" s="45"/>
      <c r="R36" s="42"/>
      <c r="S36" s="40"/>
      <c r="T36" s="45"/>
      <c r="U36" s="42"/>
      <c r="V36" s="40"/>
      <c r="W36" s="45"/>
    </row>
    <row r="37" spans="1:23" ht="15.75" thickBot="1" x14ac:dyDescent="0.3">
      <c r="A37" s="42"/>
      <c r="B37" s="41"/>
      <c r="C37" s="438" t="s">
        <v>40</v>
      </c>
      <c r="D37" s="439"/>
      <c r="E37" s="440"/>
      <c r="F37" s="13">
        <f>ROUND(SUM(F30:F36),2)</f>
        <v>2850.45</v>
      </c>
      <c r="G37" s="41"/>
      <c r="H37" s="13">
        <f>ROUND(SUM(H30:H36),2)</f>
        <v>2935.96</v>
      </c>
      <c r="I37" s="41"/>
      <c r="J37" s="5">
        <f>ROUND(SUM(J30:J36),2)</f>
        <v>3185.51</v>
      </c>
      <c r="K37" s="41"/>
      <c r="L37" s="5">
        <f>ROUND(SUM(L30:L36),2)</f>
        <v>3371.85</v>
      </c>
      <c r="M37" s="41"/>
      <c r="N37" s="5">
        <f>ROUND(SUM(N30:N36),2)</f>
        <v>3540.43</v>
      </c>
      <c r="O37" s="42"/>
      <c r="P37" s="41"/>
      <c r="Q37" s="5">
        <f>ROUND(SUM(Q30:Q36),2)</f>
        <v>3371.85</v>
      </c>
      <c r="R37" s="42"/>
      <c r="S37" s="41"/>
      <c r="T37" s="5">
        <f>ROUND(SUM(T30:T36),2)</f>
        <v>3371.85</v>
      </c>
      <c r="U37" s="42"/>
      <c r="V37" s="41"/>
      <c r="W37" s="5">
        <f>ROUND(SUM(W30:W36),2)</f>
        <v>0</v>
      </c>
    </row>
    <row r="38" spans="1:23" ht="13.5" thickBot="1" x14ac:dyDescent="0.25">
      <c r="A38" s="42"/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</row>
    <row r="39" spans="1:23" ht="15.75" thickBot="1" x14ac:dyDescent="0.3">
      <c r="A39" s="42"/>
      <c r="B39" s="369" t="s">
        <v>83</v>
      </c>
      <c r="C39" s="370"/>
      <c r="D39" s="370"/>
      <c r="E39" s="370"/>
      <c r="F39" s="370"/>
      <c r="G39" s="370"/>
      <c r="H39" s="370"/>
      <c r="I39" s="370"/>
      <c r="J39" s="370"/>
      <c r="K39" s="370"/>
      <c r="L39" s="370"/>
      <c r="M39" s="370"/>
      <c r="N39" s="371"/>
      <c r="O39" s="42"/>
      <c r="P39" s="42"/>
      <c r="Q39" s="42"/>
      <c r="R39" s="42"/>
      <c r="S39" s="42"/>
      <c r="T39" s="42"/>
      <c r="U39" s="42"/>
      <c r="V39" s="42"/>
      <c r="W39" s="42"/>
    </row>
    <row r="40" spans="1:23" ht="15.75" thickBot="1" x14ac:dyDescent="0.3">
      <c r="A40" s="42"/>
      <c r="B40" s="369" t="s">
        <v>85</v>
      </c>
      <c r="C40" s="370"/>
      <c r="D40" s="370"/>
      <c r="E40" s="370"/>
      <c r="F40" s="370"/>
      <c r="G40" s="370"/>
      <c r="H40" s="370"/>
      <c r="I40" s="370"/>
      <c r="J40" s="370"/>
      <c r="K40" s="370"/>
      <c r="L40" s="370"/>
      <c r="M40" s="370"/>
      <c r="N40" s="371"/>
      <c r="O40" s="42"/>
      <c r="P40" s="42"/>
      <c r="Q40" s="42"/>
      <c r="R40" s="42"/>
      <c r="S40" s="42"/>
      <c r="T40" s="42"/>
      <c r="U40" s="42"/>
      <c r="V40" s="42"/>
      <c r="W40" s="42"/>
    </row>
    <row r="41" spans="1:23" ht="15.75" thickBot="1" x14ac:dyDescent="0.3">
      <c r="A41" s="42"/>
      <c r="B41" s="94" t="s">
        <v>84</v>
      </c>
      <c r="C41" s="441" t="s">
        <v>86</v>
      </c>
      <c r="D41" s="442"/>
      <c r="E41" s="447"/>
      <c r="F41" s="66" t="s">
        <v>77</v>
      </c>
      <c r="G41" s="86"/>
      <c r="H41" s="66" t="s">
        <v>78</v>
      </c>
      <c r="I41" s="86"/>
      <c r="J41" s="66" t="s">
        <v>79</v>
      </c>
      <c r="K41" s="86"/>
      <c r="L41" s="66" t="s">
        <v>79</v>
      </c>
      <c r="M41" s="86"/>
      <c r="N41" s="66" t="s">
        <v>79</v>
      </c>
      <c r="O41" s="42"/>
      <c r="P41" s="86"/>
      <c r="Q41" s="66" t="s">
        <v>79</v>
      </c>
      <c r="R41" s="42"/>
      <c r="S41" s="86"/>
      <c r="T41" s="66" t="s">
        <v>79</v>
      </c>
      <c r="U41" s="42"/>
      <c r="V41" s="86"/>
      <c r="W41" s="66" t="s">
        <v>79</v>
      </c>
    </row>
    <row r="42" spans="1:23" x14ac:dyDescent="0.2">
      <c r="A42" s="42"/>
      <c r="B42" s="70" t="s">
        <v>1</v>
      </c>
      <c r="C42" s="432" t="s">
        <v>87</v>
      </c>
      <c r="D42" s="445"/>
      <c r="E42" s="88">
        <f>ROUND(1/12,4)</f>
        <v>8.3299999999999999E-2</v>
      </c>
      <c r="F42" s="43">
        <f>E42*F37</f>
        <v>237.44248499999998</v>
      </c>
      <c r="G42" s="88">
        <f>ROUND(1/12,4)</f>
        <v>8.3299999999999999E-2</v>
      </c>
      <c r="H42" s="43">
        <f>G42*H37</f>
        <v>244.56546800000001</v>
      </c>
      <c r="I42" s="88">
        <f>ROUND(1/12,4)</f>
        <v>8.3299999999999999E-2</v>
      </c>
      <c r="J42" s="44">
        <f>I42*J37</f>
        <v>265.35298299999999</v>
      </c>
      <c r="K42" s="88">
        <f>ROUND(1/12,4)</f>
        <v>8.3299999999999999E-2</v>
      </c>
      <c r="L42" s="44">
        <f>K42*L37</f>
        <v>280.87510499999996</v>
      </c>
      <c r="M42" s="88">
        <f>ROUND(1/12,4)</f>
        <v>8.3299999999999999E-2</v>
      </c>
      <c r="N42" s="44">
        <f>M42*N37</f>
        <v>294.91781900000001</v>
      </c>
      <c r="O42" s="42"/>
      <c r="P42" s="88">
        <v>0</v>
      </c>
      <c r="Q42" s="44">
        <f>P42*Q37</f>
        <v>0</v>
      </c>
      <c r="R42" s="42"/>
      <c r="S42" s="88">
        <v>0</v>
      </c>
      <c r="T42" s="44">
        <f>S42*T37</f>
        <v>0</v>
      </c>
      <c r="U42" s="42"/>
      <c r="V42" s="88">
        <v>0</v>
      </c>
      <c r="W42" s="44">
        <f>V42*W37</f>
        <v>0</v>
      </c>
    </row>
    <row r="43" spans="1:23" ht="13.5" thickBot="1" x14ac:dyDescent="0.25">
      <c r="A43" s="42"/>
      <c r="B43" s="71" t="s">
        <v>2</v>
      </c>
      <c r="C43" s="409" t="s">
        <v>88</v>
      </c>
      <c r="D43" s="415"/>
      <c r="E43" s="89">
        <f>ROUND(1/11+1/11*1/3,3)</f>
        <v>0.121</v>
      </c>
      <c r="F43" s="35">
        <f>E43*F37</f>
        <v>344.90444999999994</v>
      </c>
      <c r="G43" s="89">
        <f>ROUND(1/11+1/11*1/3,3)</f>
        <v>0.121</v>
      </c>
      <c r="H43" s="35">
        <f>G43*H37</f>
        <v>355.25115999999997</v>
      </c>
      <c r="I43" s="89">
        <f>ROUND(1/11+1/11*1/3,3)</f>
        <v>0.121</v>
      </c>
      <c r="J43" s="35">
        <f>I43*J37</f>
        <v>385.44671</v>
      </c>
      <c r="K43" s="89">
        <f>ROUND(1/11+1/11*1/3,3)</f>
        <v>0.121</v>
      </c>
      <c r="L43" s="35">
        <f>K43*L37</f>
        <v>407.99384999999995</v>
      </c>
      <c r="M43" s="89">
        <f>ROUND(1/11+1/11*1/3,3)</f>
        <v>0.121</v>
      </c>
      <c r="N43" s="35">
        <f>M43*N37</f>
        <v>428.39202999999998</v>
      </c>
      <c r="O43" s="42"/>
      <c r="P43" s="89">
        <v>0</v>
      </c>
      <c r="Q43" s="35">
        <f>P43*Q37</f>
        <v>0</v>
      </c>
      <c r="R43" s="42"/>
      <c r="S43" s="89">
        <v>0</v>
      </c>
      <c r="T43" s="35">
        <f>S43*T37</f>
        <v>0</v>
      </c>
      <c r="U43" s="42"/>
      <c r="V43" s="89">
        <f>ROUND(1/11+1/11*1/3,3)</f>
        <v>0.121</v>
      </c>
      <c r="W43" s="35">
        <f>N37+N37/3</f>
        <v>4720.5733333333328</v>
      </c>
    </row>
    <row r="44" spans="1:23" ht="13.5" customHeight="1" thickBot="1" x14ac:dyDescent="0.25">
      <c r="A44" s="42"/>
      <c r="B44" s="448" t="s">
        <v>16</v>
      </c>
      <c r="C44" s="449"/>
      <c r="D44" s="450"/>
      <c r="E44" s="90">
        <f>E42+E43</f>
        <v>0.20429999999999998</v>
      </c>
      <c r="F44" s="11">
        <f>SUM(F42:F43)</f>
        <v>582.34693499999992</v>
      </c>
      <c r="G44" s="90">
        <f>G42+G43</f>
        <v>0.20429999999999998</v>
      </c>
      <c r="H44" s="11">
        <f>SUM(H42:H43)</f>
        <v>599.81662800000004</v>
      </c>
      <c r="I44" s="90">
        <f>I42+I43</f>
        <v>0.20429999999999998</v>
      </c>
      <c r="J44" s="11">
        <f>SUM(J42:J43)</f>
        <v>650.79969299999993</v>
      </c>
      <c r="K44" s="90">
        <f>K42+K43</f>
        <v>0.20429999999999998</v>
      </c>
      <c r="L44" s="11">
        <f>SUM(L42:L43)</f>
        <v>688.86895499999991</v>
      </c>
      <c r="M44" s="90">
        <f>M42+M43</f>
        <v>0.20429999999999998</v>
      </c>
      <c r="N44" s="11">
        <f>SUM(N42:N43)</f>
        <v>723.30984899999999</v>
      </c>
      <c r="O44" s="42"/>
      <c r="P44" s="90">
        <f>P42+P43</f>
        <v>0</v>
      </c>
      <c r="Q44" s="11">
        <f>SUM(Q42:Q43)</f>
        <v>0</v>
      </c>
      <c r="R44" s="42"/>
      <c r="S44" s="90">
        <f>S42+S43</f>
        <v>0</v>
      </c>
      <c r="T44" s="11">
        <f>SUM(T42:T43)</f>
        <v>0</v>
      </c>
      <c r="U44" s="42"/>
      <c r="V44" s="90">
        <f>V42+V43</f>
        <v>0.121</v>
      </c>
      <c r="W44" s="11">
        <f>SUM(W42:W43)</f>
        <v>4720.5733333333328</v>
      </c>
    </row>
    <row r="45" spans="1:23" ht="13.5" thickBot="1" x14ac:dyDescent="0.25">
      <c r="A45" s="42"/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</row>
    <row r="46" spans="1:23" ht="15.75" thickBot="1" x14ac:dyDescent="0.3">
      <c r="A46" s="42"/>
      <c r="B46" s="369" t="s">
        <v>89</v>
      </c>
      <c r="C46" s="370"/>
      <c r="D46" s="370"/>
      <c r="E46" s="370"/>
      <c r="F46" s="370"/>
      <c r="G46" s="370"/>
      <c r="H46" s="370"/>
      <c r="I46" s="370"/>
      <c r="J46" s="370"/>
      <c r="K46" s="370"/>
      <c r="L46" s="370"/>
      <c r="M46" s="370"/>
      <c r="N46" s="371"/>
      <c r="O46" s="42"/>
      <c r="P46" s="42"/>
      <c r="Q46" s="42"/>
      <c r="R46" s="42"/>
      <c r="S46" s="42"/>
      <c r="T46" s="42"/>
      <c r="U46" s="42"/>
      <c r="V46" s="42"/>
      <c r="W46" s="42"/>
    </row>
    <row r="47" spans="1:23" ht="15.75" thickBot="1" x14ac:dyDescent="0.3">
      <c r="A47" s="42"/>
      <c r="B47" s="65" t="s">
        <v>90</v>
      </c>
      <c r="C47" s="369" t="s">
        <v>91</v>
      </c>
      <c r="D47" s="371"/>
      <c r="E47" s="7"/>
      <c r="F47" s="66" t="s">
        <v>77</v>
      </c>
      <c r="G47" s="86"/>
      <c r="H47" s="66" t="s">
        <v>78</v>
      </c>
      <c r="I47" s="86"/>
      <c r="J47" s="66" t="s">
        <v>79</v>
      </c>
      <c r="K47" s="86"/>
      <c r="L47" s="66" t="s">
        <v>79</v>
      </c>
      <c r="M47" s="86"/>
      <c r="N47" s="66" t="s">
        <v>79</v>
      </c>
      <c r="O47" s="42"/>
      <c r="P47" s="86"/>
      <c r="Q47" s="66" t="s">
        <v>79</v>
      </c>
      <c r="R47" s="42"/>
      <c r="S47" s="86"/>
      <c r="T47" s="66" t="s">
        <v>79</v>
      </c>
      <c r="U47" s="42"/>
      <c r="V47" s="86"/>
      <c r="W47" s="66" t="s">
        <v>79</v>
      </c>
    </row>
    <row r="48" spans="1:23" x14ac:dyDescent="0.2">
      <c r="A48" s="42"/>
      <c r="B48" s="70" t="s">
        <v>1</v>
      </c>
      <c r="C48" s="432" t="s">
        <v>41</v>
      </c>
      <c r="D48" s="445"/>
      <c r="E48" s="49">
        <v>0.2</v>
      </c>
      <c r="F48" s="61">
        <f>E48*($F$37+$F$44)</f>
        <v>686.55938700000002</v>
      </c>
      <c r="G48" s="49">
        <v>0.2</v>
      </c>
      <c r="H48" s="46">
        <f>G48*($H$37+$H$44)</f>
        <v>707.15532560000008</v>
      </c>
      <c r="I48" s="49">
        <v>0.2</v>
      </c>
      <c r="J48" s="46">
        <f>I48*(J37+J44)</f>
        <v>767.26193860000012</v>
      </c>
      <c r="K48" s="49">
        <v>0.2</v>
      </c>
      <c r="L48" s="46">
        <f>K48*(L37+L44)</f>
        <v>812.14379099999996</v>
      </c>
      <c r="M48" s="49">
        <v>0.2</v>
      </c>
      <c r="N48" s="46">
        <f>M48*(N37+N44)</f>
        <v>852.74796979999996</v>
      </c>
      <c r="O48" s="42"/>
      <c r="P48" s="49">
        <v>0.2</v>
      </c>
      <c r="Q48" s="46">
        <f>P48*(Q37+Q44)</f>
        <v>674.37</v>
      </c>
      <c r="R48" s="42"/>
      <c r="S48" s="49">
        <v>0.2</v>
      </c>
      <c r="T48" s="46">
        <f>S48*(T37+T44)</f>
        <v>674.37</v>
      </c>
      <c r="U48" s="42"/>
      <c r="V48" s="49">
        <v>0.2</v>
      </c>
      <c r="W48" s="46">
        <f>V48*(W37+W44)</f>
        <v>944.11466666666661</v>
      </c>
    </row>
    <row r="49" spans="1:23" x14ac:dyDescent="0.2">
      <c r="A49" s="42"/>
      <c r="B49" s="71" t="s">
        <v>2</v>
      </c>
      <c r="C49" s="409" t="s">
        <v>92</v>
      </c>
      <c r="D49" s="415"/>
      <c r="E49" s="51">
        <v>2.5000000000000001E-2</v>
      </c>
      <c r="F49" s="54">
        <f t="shared" ref="F49:F55" si="0">E49*($F$37+$F$44)</f>
        <v>85.819923375000002</v>
      </c>
      <c r="G49" s="51">
        <v>2.5000000000000001E-2</v>
      </c>
      <c r="H49" s="55">
        <f t="shared" ref="H49:H55" si="1">G49*($H$37+$H$44)</f>
        <v>88.39441570000001</v>
      </c>
      <c r="I49" s="51">
        <v>2.5000000000000001E-2</v>
      </c>
      <c r="J49" s="59">
        <f>I49*(J37+J44)</f>
        <v>95.907742325000015</v>
      </c>
      <c r="K49" s="51">
        <v>2.5000000000000001E-2</v>
      </c>
      <c r="L49" s="59">
        <f>K49*(L37+L44)</f>
        <v>101.517973875</v>
      </c>
      <c r="M49" s="51">
        <v>2.5000000000000001E-2</v>
      </c>
      <c r="N49" s="59">
        <f>M49*(N37+N44)</f>
        <v>106.593496225</v>
      </c>
      <c r="O49" s="42"/>
      <c r="P49" s="51">
        <v>2.5000000000000001E-2</v>
      </c>
      <c r="Q49" s="59">
        <f>P49*(Q37+Q44)</f>
        <v>84.296250000000001</v>
      </c>
      <c r="R49" s="42"/>
      <c r="S49" s="51">
        <v>2.5000000000000001E-2</v>
      </c>
      <c r="T49" s="59">
        <f>S49*(T37+T44)</f>
        <v>84.296250000000001</v>
      </c>
      <c r="U49" s="42"/>
      <c r="V49" s="51">
        <v>2.5000000000000001E-2</v>
      </c>
      <c r="W49" s="59">
        <f>V49*(W37+W44)</f>
        <v>118.01433333333333</v>
      </c>
    </row>
    <row r="50" spans="1:23" x14ac:dyDescent="0.2">
      <c r="A50" s="42"/>
      <c r="B50" s="71" t="s">
        <v>4</v>
      </c>
      <c r="C50" s="409" t="s">
        <v>93</v>
      </c>
      <c r="D50" s="415"/>
      <c r="E50" s="51">
        <f>3%*0.5</f>
        <v>1.4999999999999999E-2</v>
      </c>
      <c r="F50" s="54">
        <f t="shared" si="0"/>
        <v>51.491954024999998</v>
      </c>
      <c r="G50" s="51">
        <f>3%*0.5</f>
        <v>1.4999999999999999E-2</v>
      </c>
      <c r="H50" s="81">
        <f t="shared" si="1"/>
        <v>53.036649419999996</v>
      </c>
      <c r="I50" s="51">
        <f>3%*0.5</f>
        <v>1.4999999999999999E-2</v>
      </c>
      <c r="J50" s="59">
        <f>I50*(J37+J44)</f>
        <v>57.544645395000003</v>
      </c>
      <c r="K50" s="51">
        <f>3%*0.5</f>
        <v>1.4999999999999999E-2</v>
      </c>
      <c r="L50" s="59">
        <f>K50*(L37+L44)</f>
        <v>60.910784324999995</v>
      </c>
      <c r="M50" s="51">
        <f>3%*0.5</f>
        <v>1.4999999999999999E-2</v>
      </c>
      <c r="N50" s="59">
        <f>M50*(N37+N44)</f>
        <v>63.956097734999993</v>
      </c>
      <c r="O50" s="42"/>
      <c r="P50" s="51">
        <f>3%*0.5</f>
        <v>1.4999999999999999E-2</v>
      </c>
      <c r="Q50" s="59">
        <f>P50*(Q37+Q44)</f>
        <v>50.577749999999995</v>
      </c>
      <c r="R50" s="42"/>
      <c r="S50" s="51">
        <f>3%*0.5</f>
        <v>1.4999999999999999E-2</v>
      </c>
      <c r="T50" s="59">
        <f>S50*(T37+T44)</f>
        <v>50.577749999999995</v>
      </c>
      <c r="U50" s="42"/>
      <c r="V50" s="51">
        <f>3%*0.5</f>
        <v>1.4999999999999999E-2</v>
      </c>
      <c r="W50" s="59">
        <f>V50*(W37+W44)</f>
        <v>70.808599999999984</v>
      </c>
    </row>
    <row r="51" spans="1:23" x14ac:dyDescent="0.2">
      <c r="A51" s="42"/>
      <c r="B51" s="71" t="s">
        <v>5</v>
      </c>
      <c r="C51" s="409" t="s">
        <v>94</v>
      </c>
      <c r="D51" s="415"/>
      <c r="E51" s="51">
        <v>1.4999999999999999E-2</v>
      </c>
      <c r="F51" s="54">
        <f t="shared" si="0"/>
        <v>51.491954024999998</v>
      </c>
      <c r="G51" s="51">
        <v>1.4999999999999999E-2</v>
      </c>
      <c r="H51" s="52">
        <f t="shared" si="1"/>
        <v>53.036649419999996</v>
      </c>
      <c r="I51" s="51">
        <v>1.4999999999999999E-2</v>
      </c>
      <c r="J51" s="82">
        <f>I51*(J37+J44)</f>
        <v>57.544645395000003</v>
      </c>
      <c r="K51" s="51">
        <v>1.4999999999999999E-2</v>
      </c>
      <c r="L51" s="82">
        <f>K51*(L37+L44)</f>
        <v>60.910784324999995</v>
      </c>
      <c r="M51" s="51">
        <v>1.4999999999999999E-2</v>
      </c>
      <c r="N51" s="82">
        <f>M51*(N37+N44)</f>
        <v>63.956097734999993</v>
      </c>
      <c r="O51" s="42"/>
      <c r="P51" s="51">
        <v>1.4999999999999999E-2</v>
      </c>
      <c r="Q51" s="82">
        <f>P51*(Q37+Q44)</f>
        <v>50.577749999999995</v>
      </c>
      <c r="R51" s="42"/>
      <c r="S51" s="51">
        <v>1.4999999999999999E-2</v>
      </c>
      <c r="T51" s="82">
        <f>S51*(T37+T44)</f>
        <v>50.577749999999995</v>
      </c>
      <c r="U51" s="42"/>
      <c r="V51" s="51">
        <v>1.4999999999999999E-2</v>
      </c>
      <c r="W51" s="82">
        <f>V51*(W37+W44)</f>
        <v>70.808599999999984</v>
      </c>
    </row>
    <row r="52" spans="1:23" x14ac:dyDescent="0.2">
      <c r="A52" s="42"/>
      <c r="B52" s="71" t="s">
        <v>6</v>
      </c>
      <c r="C52" s="409" t="s">
        <v>95</v>
      </c>
      <c r="D52" s="415"/>
      <c r="E52" s="51">
        <v>0.01</v>
      </c>
      <c r="F52" s="52">
        <f t="shared" si="0"/>
        <v>34.327969349999996</v>
      </c>
      <c r="G52" s="51">
        <v>0.01</v>
      </c>
      <c r="H52" s="55">
        <f t="shared" si="1"/>
        <v>35.35776628</v>
      </c>
      <c r="I52" s="51">
        <v>0.01</v>
      </c>
      <c r="J52" s="62">
        <f>I52*(J37+J44)</f>
        <v>38.363096930000005</v>
      </c>
      <c r="K52" s="51">
        <v>0.01</v>
      </c>
      <c r="L52" s="62">
        <f>K52*(L37+L44)</f>
        <v>40.607189550000001</v>
      </c>
      <c r="M52" s="51">
        <v>0.01</v>
      </c>
      <c r="N52" s="62">
        <f>M52*(N37+N44)</f>
        <v>42.637398489999995</v>
      </c>
      <c r="O52" s="42"/>
      <c r="P52" s="51">
        <v>0.01</v>
      </c>
      <c r="Q52" s="62">
        <f>P52*(Q37+Q44)</f>
        <v>33.718499999999999</v>
      </c>
      <c r="R52" s="42"/>
      <c r="S52" s="51">
        <v>0.01</v>
      </c>
      <c r="T52" s="62">
        <f>S52*(T37+T44)</f>
        <v>33.718499999999999</v>
      </c>
      <c r="U52" s="42"/>
      <c r="V52" s="51">
        <v>0.01</v>
      </c>
      <c r="W52" s="62">
        <f>V52*(W37+W44)</f>
        <v>47.205733333333328</v>
      </c>
    </row>
    <row r="53" spans="1:23" x14ac:dyDescent="0.2">
      <c r="A53" s="42"/>
      <c r="B53" s="80" t="s">
        <v>7</v>
      </c>
      <c r="C53" s="378" t="s">
        <v>44</v>
      </c>
      <c r="D53" s="446"/>
      <c r="E53" s="53">
        <v>6.0000000000000001E-3</v>
      </c>
      <c r="F53" s="82">
        <f t="shared" si="0"/>
        <v>20.596781610000001</v>
      </c>
      <c r="G53" s="53">
        <v>6.0000000000000001E-3</v>
      </c>
      <c r="H53" s="81">
        <f t="shared" si="1"/>
        <v>21.214659768000001</v>
      </c>
      <c r="I53" s="53">
        <v>6.0000000000000001E-3</v>
      </c>
      <c r="J53" s="59">
        <f>I53*(J37+J44)</f>
        <v>23.017858158000003</v>
      </c>
      <c r="K53" s="53">
        <v>6.0000000000000001E-3</v>
      </c>
      <c r="L53" s="59">
        <f>K53*(L37+L44)</f>
        <v>24.364313729999999</v>
      </c>
      <c r="M53" s="53">
        <v>6.0000000000000001E-3</v>
      </c>
      <c r="N53" s="59">
        <f>M53*(N37+N44)</f>
        <v>25.582439093999998</v>
      </c>
      <c r="O53" s="42"/>
      <c r="P53" s="53">
        <v>6.0000000000000001E-3</v>
      </c>
      <c r="Q53" s="59">
        <f>P53*(Q37+Q44)</f>
        <v>20.231100000000001</v>
      </c>
      <c r="R53" s="42"/>
      <c r="S53" s="53">
        <v>6.0000000000000001E-3</v>
      </c>
      <c r="T53" s="59">
        <f>S53*(T37+T44)</f>
        <v>20.231100000000001</v>
      </c>
      <c r="U53" s="42"/>
      <c r="V53" s="53">
        <v>6.0000000000000001E-3</v>
      </c>
      <c r="W53" s="59">
        <f>V53*(W37+W44)</f>
        <v>28.323439999999998</v>
      </c>
    </row>
    <row r="54" spans="1:23" x14ac:dyDescent="0.2">
      <c r="A54" s="42"/>
      <c r="B54" s="80" t="s">
        <v>8</v>
      </c>
      <c r="C54" s="378" t="s">
        <v>42</v>
      </c>
      <c r="D54" s="446"/>
      <c r="E54" s="53">
        <v>2E-3</v>
      </c>
      <c r="F54" s="52">
        <f t="shared" si="0"/>
        <v>6.8655938699999997</v>
      </c>
      <c r="G54" s="53">
        <v>2E-3</v>
      </c>
      <c r="H54" s="52">
        <f t="shared" si="1"/>
        <v>7.0715532560000005</v>
      </c>
      <c r="I54" s="53">
        <v>2E-3</v>
      </c>
      <c r="J54" s="59">
        <f>I54*(J37+J44)</f>
        <v>7.672619386</v>
      </c>
      <c r="K54" s="53">
        <v>2E-3</v>
      </c>
      <c r="L54" s="59">
        <f>K54*(L37+L44)</f>
        <v>8.1214379099999991</v>
      </c>
      <c r="M54" s="53">
        <v>2E-3</v>
      </c>
      <c r="N54" s="59">
        <f>M54*(N37+N44)</f>
        <v>8.5274796979999987</v>
      </c>
      <c r="O54" s="42"/>
      <c r="P54" s="53">
        <v>2E-3</v>
      </c>
      <c r="Q54" s="59">
        <f>P54*(Q37+Q44)</f>
        <v>6.7436999999999996</v>
      </c>
      <c r="R54" s="42"/>
      <c r="S54" s="53">
        <v>2E-3</v>
      </c>
      <c r="T54" s="59">
        <f>S54*(T37+T44)</f>
        <v>6.7436999999999996</v>
      </c>
      <c r="U54" s="42"/>
      <c r="V54" s="53">
        <v>2E-3</v>
      </c>
      <c r="W54" s="59">
        <f>V54*(W37+W44)</f>
        <v>9.4411466666666666</v>
      </c>
    </row>
    <row r="55" spans="1:23" ht="13.5" thickBot="1" x14ac:dyDescent="0.25">
      <c r="A55" s="42"/>
      <c r="B55" s="80" t="s">
        <v>12</v>
      </c>
      <c r="C55" s="383" t="s">
        <v>43</v>
      </c>
      <c r="D55" s="451"/>
      <c r="E55" s="53">
        <v>0.08</v>
      </c>
      <c r="F55" s="59">
        <f t="shared" si="0"/>
        <v>274.62375479999997</v>
      </c>
      <c r="G55" s="53">
        <v>0.08</v>
      </c>
      <c r="H55" s="55">
        <f t="shared" si="1"/>
        <v>282.86213024</v>
      </c>
      <c r="I55" s="53">
        <v>0.08</v>
      </c>
      <c r="J55" s="59">
        <f>I55*(J37+J44)</f>
        <v>306.90477544000004</v>
      </c>
      <c r="K55" s="53">
        <v>0.08</v>
      </c>
      <c r="L55" s="59">
        <f>K55*(L37+L44)</f>
        <v>324.85751640000001</v>
      </c>
      <c r="M55" s="53">
        <v>0.08</v>
      </c>
      <c r="N55" s="59">
        <f>M55*(N37+N44)</f>
        <v>341.09918791999996</v>
      </c>
      <c r="O55" s="42"/>
      <c r="P55" s="53">
        <v>0.08</v>
      </c>
      <c r="Q55" s="59">
        <f>P55*(Q37+Q44)</f>
        <v>269.74799999999999</v>
      </c>
      <c r="R55" s="42"/>
      <c r="S55" s="53">
        <v>0.08</v>
      </c>
      <c r="T55" s="59">
        <f>S55*(T37+T44)</f>
        <v>269.74799999999999</v>
      </c>
      <c r="U55" s="42"/>
      <c r="V55" s="53">
        <v>0.08</v>
      </c>
      <c r="W55" s="59">
        <f>V55*(W37+W44)</f>
        <v>377.64586666666662</v>
      </c>
    </row>
    <row r="56" spans="1:23" ht="13.5" customHeight="1" thickBot="1" x14ac:dyDescent="0.3">
      <c r="A56" s="42"/>
      <c r="B56" s="369" t="s">
        <v>16</v>
      </c>
      <c r="C56" s="370"/>
      <c r="D56" s="371"/>
      <c r="E56" s="90">
        <f t="shared" ref="E56:N56" si="2">SUM(E48:E55)</f>
        <v>0.35300000000000004</v>
      </c>
      <c r="F56" s="5">
        <f t="shared" si="2"/>
        <v>1211.777318055</v>
      </c>
      <c r="G56" s="90">
        <f t="shared" si="2"/>
        <v>0.35300000000000004</v>
      </c>
      <c r="H56" s="5">
        <f t="shared" si="2"/>
        <v>1248.1291496840001</v>
      </c>
      <c r="I56" s="90">
        <f>SUM(I48:I55)</f>
        <v>0.35300000000000004</v>
      </c>
      <c r="J56" s="5">
        <f>SUM(J48:J55)</f>
        <v>1354.2173216290003</v>
      </c>
      <c r="K56" s="90">
        <f t="shared" ref="K56:L56" si="3">SUM(K48:K55)</f>
        <v>0.35300000000000004</v>
      </c>
      <c r="L56" s="5">
        <f t="shared" si="3"/>
        <v>1433.4337911150001</v>
      </c>
      <c r="M56" s="90">
        <f t="shared" si="2"/>
        <v>0.35300000000000004</v>
      </c>
      <c r="N56" s="5">
        <f t="shared" si="2"/>
        <v>1505.1001666969996</v>
      </c>
      <c r="P56" s="90">
        <f>SUM(P48:P55)</f>
        <v>0.35300000000000004</v>
      </c>
      <c r="Q56" s="5">
        <f>SUM(Q48:Q55)</f>
        <v>1190.26305</v>
      </c>
      <c r="R56" s="42"/>
      <c r="S56" s="90">
        <f>SUM(S48:S55)</f>
        <v>0.35300000000000004</v>
      </c>
      <c r="T56" s="5">
        <f>SUM(T48:T55)</f>
        <v>1190.26305</v>
      </c>
      <c r="U56" s="42"/>
      <c r="V56" s="90">
        <f>SUM(V48:V55)</f>
        <v>0.35300000000000004</v>
      </c>
      <c r="W56" s="5">
        <f>SUM(W48:W55)</f>
        <v>1666.3623866666662</v>
      </c>
    </row>
    <row r="57" spans="1:23" ht="13.5" thickBot="1" x14ac:dyDescent="0.25">
      <c r="A57" s="42"/>
      <c r="B57" s="42"/>
      <c r="C57" s="42"/>
      <c r="D57" s="42"/>
      <c r="E57" s="42"/>
      <c r="F57" s="83"/>
      <c r="G57" s="42"/>
      <c r="H57" s="79"/>
      <c r="I57" s="42"/>
      <c r="J57" s="42"/>
      <c r="K57" s="42"/>
      <c r="L57" s="42"/>
      <c r="M57" s="42"/>
      <c r="N57" s="42"/>
      <c r="P57" s="42"/>
      <c r="Q57" s="42"/>
      <c r="R57" s="42"/>
      <c r="S57" s="42"/>
      <c r="T57" s="42"/>
      <c r="U57" s="42"/>
      <c r="V57" s="42"/>
      <c r="W57" s="42"/>
    </row>
    <row r="58" spans="1:23" ht="15.75" thickBot="1" x14ac:dyDescent="0.3">
      <c r="A58" s="42"/>
      <c r="B58" s="369" t="s">
        <v>96</v>
      </c>
      <c r="C58" s="370"/>
      <c r="D58" s="370"/>
      <c r="E58" s="370"/>
      <c r="F58" s="370"/>
      <c r="G58" s="370"/>
      <c r="H58" s="370"/>
      <c r="I58" s="370"/>
      <c r="J58" s="370"/>
      <c r="K58" s="370"/>
      <c r="L58" s="370"/>
      <c r="M58" s="370"/>
      <c r="N58" s="371"/>
      <c r="Q58" s="42"/>
      <c r="R58" s="42"/>
      <c r="S58" s="42"/>
      <c r="T58" s="42"/>
      <c r="U58" s="42"/>
      <c r="V58" s="42"/>
      <c r="W58" s="42"/>
    </row>
    <row r="59" spans="1:23" ht="15.75" thickBot="1" x14ac:dyDescent="0.3">
      <c r="A59" s="42"/>
      <c r="B59" s="65" t="s">
        <v>97</v>
      </c>
      <c r="C59" s="441" t="s">
        <v>58</v>
      </c>
      <c r="D59" s="447"/>
      <c r="E59" s="91"/>
      <c r="F59" s="66" t="s">
        <v>77</v>
      </c>
      <c r="G59" s="86"/>
      <c r="H59" s="66" t="s">
        <v>78</v>
      </c>
      <c r="I59" s="86"/>
      <c r="J59" s="66" t="s">
        <v>79</v>
      </c>
      <c r="K59" s="86"/>
      <c r="L59" s="66" t="s">
        <v>79</v>
      </c>
      <c r="M59" s="86"/>
      <c r="N59" s="66" t="s">
        <v>79</v>
      </c>
      <c r="P59" s="86"/>
      <c r="Q59" s="66" t="s">
        <v>79</v>
      </c>
      <c r="R59" s="42"/>
      <c r="S59" s="86"/>
      <c r="T59" s="66" t="s">
        <v>79</v>
      </c>
      <c r="U59" s="42"/>
      <c r="V59" s="86"/>
      <c r="W59" s="66" t="s">
        <v>79</v>
      </c>
    </row>
    <row r="60" spans="1:23" x14ac:dyDescent="0.2">
      <c r="A60" s="42"/>
      <c r="B60" s="70" t="s">
        <v>1</v>
      </c>
      <c r="C60" s="432" t="s">
        <v>36</v>
      </c>
      <c r="D60" s="445"/>
      <c r="E60" s="92">
        <v>5.5</v>
      </c>
      <c r="F60" s="50">
        <f>E60*21*2-(6%*F30)</f>
        <v>99.441000000000003</v>
      </c>
      <c r="G60" s="92">
        <v>5.5</v>
      </c>
      <c r="H60" s="50">
        <f>G60*21*2-(6%*H30)</f>
        <v>95.494200000000006</v>
      </c>
      <c r="I60" s="92">
        <v>5.5</v>
      </c>
      <c r="J60" s="46">
        <f>I60*21*2-(6%*J30)</f>
        <v>83.976600000000019</v>
      </c>
      <c r="K60" s="92">
        <v>5.5</v>
      </c>
      <c r="L60" s="46">
        <f>K60*21*2-(6%*L30)</f>
        <v>75.376200000000011</v>
      </c>
      <c r="M60" s="92">
        <v>5.5</v>
      </c>
      <c r="N60" s="46">
        <f>M60*21*2-(6%*N30)</f>
        <v>67.595400000000012</v>
      </c>
      <c r="P60" s="92">
        <v>5.5</v>
      </c>
      <c r="Q60" s="46">
        <f>P60*21*2-(6%*Q30)</f>
        <v>75.376200000000011</v>
      </c>
      <c r="R60" s="42"/>
      <c r="S60" s="92">
        <v>5.5</v>
      </c>
      <c r="T60" s="46">
        <f>S60*21*2-(6%*T30)</f>
        <v>75.376200000000011</v>
      </c>
      <c r="U60" s="42"/>
      <c r="V60" s="92">
        <v>0</v>
      </c>
      <c r="W60" s="46">
        <f>V60*15*2-(6%*W30)</f>
        <v>0</v>
      </c>
    </row>
    <row r="61" spans="1:23" x14ac:dyDescent="0.2">
      <c r="A61" s="42"/>
      <c r="B61" s="71" t="s">
        <v>2</v>
      </c>
      <c r="C61" s="409" t="s">
        <v>98</v>
      </c>
      <c r="D61" s="415"/>
      <c r="E61" s="93">
        <v>37.5</v>
      </c>
      <c r="F61" s="52">
        <f>E61*21</f>
        <v>787.5</v>
      </c>
      <c r="G61" s="93">
        <v>39.29</v>
      </c>
      <c r="H61" s="52">
        <f>G61*21</f>
        <v>825.09</v>
      </c>
      <c r="I61" s="93">
        <v>42.63</v>
      </c>
      <c r="J61" s="52">
        <f>I61*21</f>
        <v>895.23</v>
      </c>
      <c r="K61" s="93">
        <v>45.12</v>
      </c>
      <c r="L61" s="52">
        <f>K61*21</f>
        <v>947.52</v>
      </c>
      <c r="M61" s="310">
        <v>47.37</v>
      </c>
      <c r="N61" s="52">
        <f>M61*21</f>
        <v>994.77</v>
      </c>
      <c r="P61" s="93">
        <v>45.12</v>
      </c>
      <c r="Q61" s="52">
        <f>P61*21</f>
        <v>947.52</v>
      </c>
      <c r="R61" s="42"/>
      <c r="S61" s="93">
        <v>45.12</v>
      </c>
      <c r="T61" s="52">
        <f>S61*21</f>
        <v>947.52</v>
      </c>
      <c r="U61" s="42"/>
      <c r="V61" s="93">
        <v>0</v>
      </c>
      <c r="W61" s="52">
        <f>V61*15</f>
        <v>0</v>
      </c>
    </row>
    <row r="62" spans="1:23" x14ac:dyDescent="0.2">
      <c r="A62" s="42"/>
      <c r="B62" s="71" t="s">
        <v>159</v>
      </c>
      <c r="C62" s="409" t="s">
        <v>160</v>
      </c>
      <c r="D62" s="415"/>
      <c r="E62" s="93">
        <f>E61*0.02</f>
        <v>0.75</v>
      </c>
      <c r="F62" s="52">
        <f>E62*-21</f>
        <v>-15.75</v>
      </c>
      <c r="G62" s="93">
        <f>G61*0.02</f>
        <v>0.78580000000000005</v>
      </c>
      <c r="H62" s="52">
        <f>G62*-21</f>
        <v>-16.501800000000003</v>
      </c>
      <c r="I62" s="93">
        <f>I61*0.02</f>
        <v>0.85260000000000002</v>
      </c>
      <c r="J62" s="52">
        <f>I62*-21</f>
        <v>-17.904600000000002</v>
      </c>
      <c r="K62" s="93">
        <f>K61*0.02</f>
        <v>0.90239999999999998</v>
      </c>
      <c r="L62" s="52">
        <f>K62*-21</f>
        <v>-18.950399999999998</v>
      </c>
      <c r="M62" s="93">
        <f>M61*0.02</f>
        <v>0.94740000000000002</v>
      </c>
      <c r="N62" s="52">
        <f>M62*-21</f>
        <v>-19.895400000000002</v>
      </c>
      <c r="P62" s="93">
        <f>P61*0.02</f>
        <v>0.90239999999999998</v>
      </c>
      <c r="Q62" s="52">
        <f>P62*-21</f>
        <v>-18.950399999999998</v>
      </c>
      <c r="R62" s="42"/>
      <c r="S62" s="93">
        <f>S61*0.02</f>
        <v>0.90239999999999998</v>
      </c>
      <c r="T62" s="52">
        <f>S62*-21</f>
        <v>-18.950399999999998</v>
      </c>
      <c r="U62" s="42"/>
      <c r="V62" s="93">
        <f>V61*0.02</f>
        <v>0</v>
      </c>
      <c r="W62" s="52">
        <f>V62*-15</f>
        <v>0</v>
      </c>
    </row>
    <row r="63" spans="1:23" ht="13.5" thickBot="1" x14ac:dyDescent="0.25">
      <c r="A63" s="42"/>
      <c r="B63" s="71" t="s">
        <v>4</v>
      </c>
      <c r="C63" s="409" t="s">
        <v>161</v>
      </c>
      <c r="D63" s="415"/>
      <c r="E63" s="93"/>
      <c r="F63" s="52">
        <v>10.9</v>
      </c>
      <c r="G63" s="93"/>
      <c r="H63" s="52">
        <v>10.9</v>
      </c>
      <c r="I63" s="93"/>
      <c r="J63" s="52">
        <v>10.9</v>
      </c>
      <c r="K63" s="93"/>
      <c r="L63" s="52">
        <v>10.9</v>
      </c>
      <c r="M63" s="93"/>
      <c r="N63" s="52">
        <v>10.9</v>
      </c>
      <c r="P63" s="93"/>
      <c r="Q63" s="52">
        <v>10.9</v>
      </c>
      <c r="R63" s="42"/>
      <c r="S63" s="93"/>
      <c r="T63" s="52">
        <v>10.9</v>
      </c>
      <c r="U63" s="42"/>
      <c r="V63" s="93"/>
      <c r="W63" s="52">
        <v>0</v>
      </c>
    </row>
    <row r="64" spans="1:23" ht="15.75" thickBot="1" x14ac:dyDescent="0.3">
      <c r="A64" s="42"/>
      <c r="B64" s="369" t="s">
        <v>16</v>
      </c>
      <c r="C64" s="370"/>
      <c r="D64" s="370"/>
      <c r="E64" s="371"/>
      <c r="F64" s="5">
        <f>SUM(F60:F63)</f>
        <v>882.09100000000001</v>
      </c>
      <c r="G64" s="8"/>
      <c r="H64" s="5">
        <f>SUM(H60:H63)</f>
        <v>914.98239999999998</v>
      </c>
      <c r="I64" s="8"/>
      <c r="J64" s="5">
        <f>SUM(J60:J63)</f>
        <v>972.202</v>
      </c>
      <c r="K64" s="8"/>
      <c r="L64" s="5">
        <f>SUM(L60:L63)</f>
        <v>1014.8458000000001</v>
      </c>
      <c r="M64" s="8"/>
      <c r="N64" s="5">
        <f>SUM(N60:N63)</f>
        <v>1053.3699999999999</v>
      </c>
      <c r="P64" s="8"/>
      <c r="Q64" s="5">
        <f>SUM(Q60:Q63)</f>
        <v>1014.8458000000001</v>
      </c>
      <c r="R64" s="42"/>
      <c r="S64" s="8"/>
      <c r="T64" s="5">
        <f>SUM(T60:T63)</f>
        <v>1014.8458000000001</v>
      </c>
      <c r="U64" s="42"/>
      <c r="V64" s="8"/>
      <c r="W64" s="5">
        <f>SUM(W60:W63)</f>
        <v>0</v>
      </c>
    </row>
    <row r="65" spans="1:23" ht="13.5" thickBot="1" x14ac:dyDescent="0.25">
      <c r="A65" s="42"/>
      <c r="B65" s="142"/>
      <c r="C65" s="9"/>
      <c r="D65" s="9"/>
      <c r="E65" s="9"/>
      <c r="F65" s="9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</row>
    <row r="66" spans="1:23" ht="15.75" thickBot="1" x14ac:dyDescent="0.3">
      <c r="A66" s="73"/>
      <c r="B66" s="369" t="s">
        <v>99</v>
      </c>
      <c r="C66" s="370"/>
      <c r="D66" s="370"/>
      <c r="E66" s="370"/>
      <c r="F66" s="370"/>
      <c r="G66" s="370"/>
      <c r="H66" s="370"/>
      <c r="I66" s="370"/>
      <c r="J66" s="370"/>
      <c r="K66" s="370"/>
      <c r="L66" s="370"/>
      <c r="M66" s="370"/>
      <c r="N66" s="371"/>
      <c r="O66" s="42"/>
      <c r="P66" s="42"/>
      <c r="Q66" s="42"/>
      <c r="R66" s="42"/>
      <c r="S66" s="42"/>
      <c r="T66" s="42"/>
      <c r="U66" s="42"/>
      <c r="V66" s="42"/>
      <c r="W66" s="42"/>
    </row>
    <row r="67" spans="1:23" ht="15.75" thickBot="1" x14ac:dyDescent="0.3">
      <c r="A67" s="42"/>
      <c r="B67" s="65">
        <v>2</v>
      </c>
      <c r="C67" s="441" t="s">
        <v>100</v>
      </c>
      <c r="D67" s="447"/>
      <c r="E67" s="134" t="s">
        <v>13</v>
      </c>
      <c r="F67" s="4" t="s">
        <v>35</v>
      </c>
      <c r="G67" s="137" t="s">
        <v>13</v>
      </c>
      <c r="H67" s="4" t="s">
        <v>35</v>
      </c>
      <c r="I67" s="137" t="s">
        <v>13</v>
      </c>
      <c r="J67" s="4" t="s">
        <v>35</v>
      </c>
      <c r="K67" s="137" t="s">
        <v>13</v>
      </c>
      <c r="L67" s="4" t="s">
        <v>35</v>
      </c>
      <c r="M67" s="137" t="s">
        <v>13</v>
      </c>
      <c r="N67" s="4" t="s">
        <v>35</v>
      </c>
      <c r="O67" s="42"/>
      <c r="P67" s="137" t="s">
        <v>13</v>
      </c>
      <c r="Q67" s="4" t="s">
        <v>35</v>
      </c>
      <c r="R67" s="42"/>
      <c r="S67" s="137" t="s">
        <v>13</v>
      </c>
      <c r="T67" s="4" t="s">
        <v>35</v>
      </c>
      <c r="U67" s="42"/>
      <c r="V67" s="137" t="s">
        <v>13</v>
      </c>
      <c r="W67" s="4" t="s">
        <v>35</v>
      </c>
    </row>
    <row r="68" spans="1:23" x14ac:dyDescent="0.2">
      <c r="A68" s="42"/>
      <c r="B68" s="70" t="s">
        <v>1</v>
      </c>
      <c r="C68" s="432" t="s">
        <v>86</v>
      </c>
      <c r="D68" s="445"/>
      <c r="E68" s="49">
        <f>E44</f>
        <v>0.20429999999999998</v>
      </c>
      <c r="F68" s="55">
        <f>F44</f>
        <v>582.34693499999992</v>
      </c>
      <c r="G68" s="49"/>
      <c r="H68" s="55">
        <f>H44</f>
        <v>599.81662800000004</v>
      </c>
      <c r="I68" s="49"/>
      <c r="J68" s="55">
        <f>J44</f>
        <v>650.79969299999993</v>
      </c>
      <c r="K68" s="49"/>
      <c r="L68" s="55">
        <f>L44</f>
        <v>688.86895499999991</v>
      </c>
      <c r="M68" s="49"/>
      <c r="N68" s="55">
        <f>N44</f>
        <v>723.30984899999999</v>
      </c>
      <c r="O68" s="42"/>
      <c r="P68" s="49"/>
      <c r="Q68" s="55">
        <f>Q44</f>
        <v>0</v>
      </c>
      <c r="R68" s="42"/>
      <c r="S68" s="49"/>
      <c r="T68" s="55">
        <f>T44</f>
        <v>0</v>
      </c>
      <c r="U68" s="42"/>
      <c r="V68" s="49"/>
      <c r="W68" s="55">
        <f>W44</f>
        <v>4720.5733333333328</v>
      </c>
    </row>
    <row r="69" spans="1:23" x14ac:dyDescent="0.2">
      <c r="A69" s="42"/>
      <c r="B69" s="71" t="s">
        <v>2</v>
      </c>
      <c r="C69" s="409" t="s">
        <v>91</v>
      </c>
      <c r="D69" s="415"/>
      <c r="E69" s="51">
        <f>E56</f>
        <v>0.35300000000000004</v>
      </c>
      <c r="F69" s="52">
        <f>F56</f>
        <v>1211.777318055</v>
      </c>
      <c r="G69" s="51"/>
      <c r="H69" s="52">
        <f>H56</f>
        <v>1248.1291496840001</v>
      </c>
      <c r="I69" s="51"/>
      <c r="J69" s="52">
        <f>J56</f>
        <v>1354.2173216290003</v>
      </c>
      <c r="K69" s="51"/>
      <c r="L69" s="52">
        <f>L56</f>
        <v>1433.4337911150001</v>
      </c>
      <c r="M69" s="51"/>
      <c r="N69" s="52">
        <f>N56</f>
        <v>1505.1001666969996</v>
      </c>
      <c r="O69" s="42"/>
      <c r="P69" s="51"/>
      <c r="Q69" s="52">
        <f>Q56</f>
        <v>1190.26305</v>
      </c>
      <c r="R69" s="42"/>
      <c r="S69" s="51"/>
      <c r="T69" s="52">
        <f>T56</f>
        <v>1190.26305</v>
      </c>
      <c r="U69" s="42"/>
      <c r="V69" s="51"/>
      <c r="W69" s="52">
        <f>W56</f>
        <v>1666.3623866666662</v>
      </c>
    </row>
    <row r="70" spans="1:23" ht="13.5" thickBot="1" x14ac:dyDescent="0.25">
      <c r="A70" s="42"/>
      <c r="B70" s="71" t="s">
        <v>4</v>
      </c>
      <c r="C70" s="452" t="s">
        <v>58</v>
      </c>
      <c r="D70" s="453"/>
      <c r="E70" s="51"/>
      <c r="F70" s="52">
        <f>F64</f>
        <v>882.09100000000001</v>
      </c>
      <c r="G70" s="51"/>
      <c r="H70" s="52">
        <f>H64</f>
        <v>914.98239999999998</v>
      </c>
      <c r="I70" s="51"/>
      <c r="J70" s="52">
        <f>J64</f>
        <v>972.202</v>
      </c>
      <c r="K70" s="51"/>
      <c r="L70" s="52">
        <f>L64</f>
        <v>1014.8458000000001</v>
      </c>
      <c r="M70" s="51"/>
      <c r="N70" s="52">
        <f>N64</f>
        <v>1053.3699999999999</v>
      </c>
      <c r="O70" s="42"/>
      <c r="P70" s="51"/>
      <c r="Q70" s="52">
        <f>Q64</f>
        <v>1014.8458000000001</v>
      </c>
      <c r="R70" s="42"/>
      <c r="S70" s="51"/>
      <c r="T70" s="52">
        <f>T64</f>
        <v>1014.8458000000001</v>
      </c>
      <c r="U70" s="42"/>
      <c r="V70" s="51"/>
      <c r="W70" s="52">
        <f>W64</f>
        <v>0</v>
      </c>
    </row>
    <row r="71" spans="1:23" ht="15.75" thickBot="1" x14ac:dyDescent="0.3">
      <c r="A71" s="42"/>
      <c r="B71" s="369" t="s">
        <v>16</v>
      </c>
      <c r="C71" s="370"/>
      <c r="D71" s="370"/>
      <c r="E71" s="146">
        <f>SUM(E68:E70)</f>
        <v>0.55730000000000002</v>
      </c>
      <c r="F71" s="5">
        <f>SUM(F68:F70)</f>
        <v>2676.2152530549997</v>
      </c>
      <c r="G71" s="56"/>
      <c r="H71" s="5">
        <f>SUM(H68:H70)</f>
        <v>2762.9281776840003</v>
      </c>
      <c r="I71" s="56"/>
      <c r="J71" s="5">
        <f>SUM(J68:J70)</f>
        <v>2977.2190146290004</v>
      </c>
      <c r="K71" s="56"/>
      <c r="L71" s="5">
        <f>SUM(L68:L70)</f>
        <v>3137.148546115</v>
      </c>
      <c r="M71" s="56"/>
      <c r="N71" s="5">
        <f>SUM(N68:N70)</f>
        <v>3281.7800156969997</v>
      </c>
      <c r="O71" s="42"/>
      <c r="P71" s="56"/>
      <c r="Q71" s="5">
        <f>SUM(Q68:Q70)</f>
        <v>2205.1088500000001</v>
      </c>
      <c r="R71" s="42"/>
      <c r="S71" s="56"/>
      <c r="T71" s="5">
        <f>SUM(T68:T70)</f>
        <v>2205.1088500000001</v>
      </c>
      <c r="U71" s="42"/>
      <c r="V71" s="56"/>
      <c r="W71" s="5">
        <f>SUM(W68:W70)</f>
        <v>6386.9357199999995</v>
      </c>
    </row>
    <row r="72" spans="1:23" ht="15.75" thickBot="1" x14ac:dyDescent="0.3">
      <c r="A72" s="42"/>
      <c r="B72" s="135"/>
      <c r="C72" s="135"/>
      <c r="D72" s="135"/>
      <c r="E72" s="87"/>
      <c r="F72" s="25"/>
      <c r="G72" s="42"/>
      <c r="H72" s="25"/>
      <c r="I72" s="42"/>
      <c r="J72" s="25"/>
      <c r="K72" s="42"/>
      <c r="L72" s="25"/>
      <c r="M72" s="42"/>
      <c r="N72" s="25"/>
      <c r="O72" s="42"/>
      <c r="P72" s="42"/>
      <c r="Q72" s="25"/>
      <c r="R72" s="42"/>
      <c r="S72" s="42"/>
      <c r="T72" s="25"/>
      <c r="U72" s="42"/>
      <c r="V72" s="42"/>
      <c r="W72" s="25"/>
    </row>
    <row r="73" spans="1:23" ht="15.75" thickBot="1" x14ac:dyDescent="0.3">
      <c r="A73" s="42"/>
      <c r="B73" s="369" t="s">
        <v>101</v>
      </c>
      <c r="C73" s="370"/>
      <c r="D73" s="370"/>
      <c r="E73" s="370"/>
      <c r="F73" s="370"/>
      <c r="G73" s="370"/>
      <c r="H73" s="370"/>
      <c r="I73" s="370"/>
      <c r="J73" s="370"/>
      <c r="K73" s="370"/>
      <c r="L73" s="370"/>
      <c r="M73" s="370"/>
      <c r="N73" s="371"/>
      <c r="O73" s="42"/>
      <c r="P73" s="42"/>
      <c r="Q73" s="42"/>
      <c r="R73" s="42"/>
      <c r="S73" s="42"/>
      <c r="T73" s="42"/>
      <c r="U73" s="42"/>
      <c r="V73" s="42"/>
      <c r="W73" s="42"/>
    </row>
    <row r="74" spans="1:23" ht="15.75" thickBot="1" x14ac:dyDescent="0.3">
      <c r="A74" s="42"/>
      <c r="B74" s="65">
        <v>3</v>
      </c>
      <c r="C74" s="441" t="s">
        <v>45</v>
      </c>
      <c r="D74" s="447"/>
      <c r="E74" s="134" t="s">
        <v>13</v>
      </c>
      <c r="F74" s="136" t="s">
        <v>35</v>
      </c>
      <c r="G74" s="4" t="s">
        <v>13</v>
      </c>
      <c r="H74" s="4" t="s">
        <v>35</v>
      </c>
      <c r="I74" s="4" t="s">
        <v>13</v>
      </c>
      <c r="J74" s="138" t="s">
        <v>35</v>
      </c>
      <c r="K74" s="4" t="s">
        <v>13</v>
      </c>
      <c r="L74" s="138" t="s">
        <v>35</v>
      </c>
      <c r="M74" s="4" t="s">
        <v>13</v>
      </c>
      <c r="N74" s="138" t="s">
        <v>35</v>
      </c>
      <c r="O74" s="42"/>
      <c r="P74" s="4" t="s">
        <v>13</v>
      </c>
      <c r="Q74" s="138" t="s">
        <v>35</v>
      </c>
      <c r="R74" s="42"/>
      <c r="S74" s="4" t="s">
        <v>13</v>
      </c>
      <c r="T74" s="138" t="s">
        <v>35</v>
      </c>
      <c r="U74" s="42"/>
      <c r="V74" s="4" t="s">
        <v>13</v>
      </c>
      <c r="W74" s="138" t="s">
        <v>35</v>
      </c>
    </row>
    <row r="75" spans="1:23" x14ac:dyDescent="0.2">
      <c r="A75" s="42"/>
      <c r="B75" s="70" t="s">
        <v>1</v>
      </c>
      <c r="C75" s="432" t="s">
        <v>104</v>
      </c>
      <c r="D75" s="445"/>
      <c r="E75" s="132">
        <f>1/12*0.01</f>
        <v>8.3333333333333328E-4</v>
      </c>
      <c r="F75" s="59">
        <f t="shared" ref="F75:F80" si="4">$F$37*E75</f>
        <v>2.3753749999999996</v>
      </c>
      <c r="G75" s="132">
        <f>1/12*0.01*3/30</f>
        <v>8.3333333333333317E-5</v>
      </c>
      <c r="H75" s="59">
        <f t="shared" ref="H75:H80" si="5">$H$37*G75</f>
        <v>0.24466333333333329</v>
      </c>
      <c r="I75" s="132">
        <f>1/12*0.01*3/30</f>
        <v>8.3333333333333317E-5</v>
      </c>
      <c r="J75" s="55">
        <f>J37*I75</f>
        <v>0.26545916666666663</v>
      </c>
      <c r="K75" s="132">
        <f>1/12*0.01*3/30</f>
        <v>8.3333333333333317E-5</v>
      </c>
      <c r="L75" s="55">
        <f>L37*K75</f>
        <v>0.28098749999999995</v>
      </c>
      <c r="M75" s="132">
        <f>1/12*0.01*3/30</f>
        <v>8.3333333333333317E-5</v>
      </c>
      <c r="N75" s="55">
        <f>N37*M75</f>
        <v>0.29503583333333327</v>
      </c>
      <c r="O75" s="42"/>
      <c r="P75" s="132">
        <v>0</v>
      </c>
      <c r="Q75" s="55">
        <f>Q37*P75</f>
        <v>0</v>
      </c>
      <c r="R75" s="42"/>
      <c r="S75" s="132">
        <f>1/12*0.01*3/30</f>
        <v>8.3333333333333317E-5</v>
      </c>
      <c r="T75" s="55">
        <f>T37*S75</f>
        <v>0.28098749999999995</v>
      </c>
      <c r="U75" s="42"/>
      <c r="V75" s="132">
        <v>0</v>
      </c>
      <c r="W75" s="55">
        <f>W37*V75</f>
        <v>0</v>
      </c>
    </row>
    <row r="76" spans="1:23" x14ac:dyDescent="0.2">
      <c r="A76" s="42"/>
      <c r="B76" s="71" t="s">
        <v>2</v>
      </c>
      <c r="C76" s="409" t="s">
        <v>67</v>
      </c>
      <c r="D76" s="415"/>
      <c r="E76" s="123">
        <f>E75*E55</f>
        <v>6.666666666666667E-5</v>
      </c>
      <c r="F76" s="59">
        <f t="shared" si="4"/>
        <v>0.19003</v>
      </c>
      <c r="G76" s="123">
        <f>G75*G55</f>
        <v>6.6666666666666658E-6</v>
      </c>
      <c r="H76" s="59">
        <f t="shared" si="5"/>
        <v>1.9573066666666663E-2</v>
      </c>
      <c r="I76" s="123">
        <f>I75*I55</f>
        <v>6.6666666666666658E-6</v>
      </c>
      <c r="J76" s="52">
        <f>J37*I76</f>
        <v>2.123673333333333E-2</v>
      </c>
      <c r="K76" s="123">
        <f>K75*K55</f>
        <v>6.6666666666666658E-6</v>
      </c>
      <c r="L76" s="52">
        <f>L37*K76</f>
        <v>2.2478999999999996E-2</v>
      </c>
      <c r="M76" s="123">
        <f>M75*M55</f>
        <v>6.6666666666666658E-6</v>
      </c>
      <c r="N76" s="52">
        <f>N37*M76</f>
        <v>2.3602866666666663E-2</v>
      </c>
      <c r="O76" s="42"/>
      <c r="P76" s="123">
        <f>P75*P55</f>
        <v>0</v>
      </c>
      <c r="Q76" s="52">
        <f>Q37*P76</f>
        <v>0</v>
      </c>
      <c r="R76" s="42"/>
      <c r="S76" s="123">
        <f>S75*S55</f>
        <v>6.6666666666666658E-6</v>
      </c>
      <c r="T76" s="52">
        <f>T37*S76</f>
        <v>2.2478999999999996E-2</v>
      </c>
      <c r="U76" s="42"/>
      <c r="V76" s="123">
        <f>V75*V55</f>
        <v>0</v>
      </c>
      <c r="W76" s="52">
        <f>W37*V76</f>
        <v>0</v>
      </c>
    </row>
    <row r="77" spans="1:23" x14ac:dyDescent="0.2">
      <c r="A77" s="42"/>
      <c r="B77" s="71" t="s">
        <v>4</v>
      </c>
      <c r="C77" s="409" t="s">
        <v>162</v>
      </c>
      <c r="D77" s="415"/>
      <c r="E77" s="51">
        <f>0.08*0.4*0.95</f>
        <v>3.04E-2</v>
      </c>
      <c r="F77" s="59">
        <f t="shared" si="4"/>
        <v>86.653679999999994</v>
      </c>
      <c r="G77" s="51">
        <f>0.08*0.4*0.95</f>
        <v>3.04E-2</v>
      </c>
      <c r="H77" s="59">
        <f t="shared" si="5"/>
        <v>89.253184000000005</v>
      </c>
      <c r="I77" s="51">
        <f>0.08*0.4*0.95</f>
        <v>3.04E-2</v>
      </c>
      <c r="J77" s="52">
        <f>J37*I77</f>
        <v>96.839504000000005</v>
      </c>
      <c r="K77" s="51">
        <f>0.08*0.4*0.95</f>
        <v>3.04E-2</v>
      </c>
      <c r="L77" s="52">
        <f>L37*K77</f>
        <v>102.50424</v>
      </c>
      <c r="M77" s="51">
        <f>0.08*0.4*0.95</f>
        <v>3.04E-2</v>
      </c>
      <c r="N77" s="52">
        <f>N37*M77</f>
        <v>107.62907199999999</v>
      </c>
      <c r="O77" s="42"/>
      <c r="P77" s="51">
        <v>0</v>
      </c>
      <c r="Q77" s="52">
        <f>Q37*P77</f>
        <v>0</v>
      </c>
      <c r="R77" s="42"/>
      <c r="S77" s="51">
        <f>0.08*0.4*0.95</f>
        <v>3.04E-2</v>
      </c>
      <c r="T77" s="52">
        <f>T37*S77</f>
        <v>102.50424</v>
      </c>
      <c r="U77" s="42"/>
      <c r="V77" s="51">
        <v>0</v>
      </c>
      <c r="W77" s="52">
        <f>W37*V77</f>
        <v>0</v>
      </c>
    </row>
    <row r="78" spans="1:23" x14ac:dyDescent="0.2">
      <c r="A78" s="42"/>
      <c r="B78" s="71" t="s">
        <v>5</v>
      </c>
      <c r="C78" s="409" t="s">
        <v>102</v>
      </c>
      <c r="D78" s="415"/>
      <c r="E78" s="102">
        <f>7/30/12*0.01</f>
        <v>1.9444444444444446E-4</v>
      </c>
      <c r="F78" s="59">
        <f t="shared" si="4"/>
        <v>0.55425416666666671</v>
      </c>
      <c r="G78" s="102">
        <f>7/30/12*0.01*3/30</f>
        <v>1.9444444444444445E-5</v>
      </c>
      <c r="H78" s="59">
        <f t="shared" si="5"/>
        <v>5.7088111111111117E-2</v>
      </c>
      <c r="I78" s="102">
        <f>7/30/12*0.01*3/30</f>
        <v>1.9444444444444445E-5</v>
      </c>
      <c r="J78" s="52">
        <f>J37*I78</f>
        <v>6.194047222222223E-2</v>
      </c>
      <c r="K78" s="102">
        <f>7/30/12*0.01*3/30</f>
        <v>1.9444444444444445E-5</v>
      </c>
      <c r="L78" s="52">
        <f>L37*K78</f>
        <v>6.5563750000000004E-2</v>
      </c>
      <c r="M78" s="102">
        <f>7/30/12*0.01*3/30</f>
        <v>1.9444444444444445E-5</v>
      </c>
      <c r="N78" s="52">
        <f>N37*M78</f>
        <v>6.8841694444444448E-2</v>
      </c>
      <c r="O78" s="42"/>
      <c r="P78" s="102">
        <v>0</v>
      </c>
      <c r="Q78" s="52">
        <f>Q37*P78</f>
        <v>0</v>
      </c>
      <c r="R78" s="42"/>
      <c r="S78" s="102">
        <f>7/30/12*0.01*3/30</f>
        <v>1.9444444444444445E-5</v>
      </c>
      <c r="T78" s="52">
        <f>T37*S78</f>
        <v>6.5563750000000004E-2</v>
      </c>
      <c r="U78" s="42"/>
      <c r="V78" s="102">
        <v>0</v>
      </c>
      <c r="W78" s="52">
        <f>W37*V78</f>
        <v>0</v>
      </c>
    </row>
    <row r="79" spans="1:23" x14ac:dyDescent="0.2">
      <c r="A79" s="42"/>
      <c r="B79" s="71" t="s">
        <v>6</v>
      </c>
      <c r="C79" s="409" t="s">
        <v>103</v>
      </c>
      <c r="D79" s="415"/>
      <c r="E79" s="123">
        <f>E78*E56</f>
        <v>6.8638888888888902E-5</v>
      </c>
      <c r="F79" s="59">
        <f t="shared" si="4"/>
        <v>0.19565172083333335</v>
      </c>
      <c r="G79" s="123">
        <f>G78*G56</f>
        <v>6.8638888888888899E-6</v>
      </c>
      <c r="H79" s="59">
        <f t="shared" si="5"/>
        <v>2.0152103222222224E-2</v>
      </c>
      <c r="I79" s="123">
        <f>I78*I56</f>
        <v>6.8638888888888899E-6</v>
      </c>
      <c r="J79" s="52">
        <f>J37*I79</f>
        <v>2.1864986694444449E-2</v>
      </c>
      <c r="K79" s="123">
        <f>K78*K56</f>
        <v>6.8638888888888899E-6</v>
      </c>
      <c r="L79" s="52">
        <f>L37*K79</f>
        <v>2.3144003750000003E-2</v>
      </c>
      <c r="M79" s="123">
        <f>M78*M56</f>
        <v>6.8638888888888899E-6</v>
      </c>
      <c r="N79" s="52">
        <f>N37*M79</f>
        <v>2.430111813888889E-2</v>
      </c>
      <c r="O79" s="42"/>
      <c r="P79" s="123">
        <f>P78*P56</f>
        <v>0</v>
      </c>
      <c r="Q79" s="52">
        <f>Q37*P79</f>
        <v>0</v>
      </c>
      <c r="R79" s="42"/>
      <c r="S79" s="123">
        <f>S78*S56</f>
        <v>6.8638888888888899E-6</v>
      </c>
      <c r="T79" s="52">
        <f>T37*S79</f>
        <v>2.3144003750000003E-2</v>
      </c>
      <c r="U79" s="42"/>
      <c r="V79" s="123">
        <f>V78*V56</f>
        <v>0</v>
      </c>
      <c r="W79" s="52">
        <f>W37*V79</f>
        <v>0</v>
      </c>
    </row>
    <row r="80" spans="1:23" ht="13.5" thickBot="1" x14ac:dyDescent="0.25">
      <c r="A80" s="42"/>
      <c r="B80" s="80" t="s">
        <v>7</v>
      </c>
      <c r="C80" s="378" t="s">
        <v>163</v>
      </c>
      <c r="D80" s="446"/>
      <c r="E80" s="144">
        <f>E78*0.4</f>
        <v>7.7777777777777795E-5</v>
      </c>
      <c r="F80" s="82">
        <f t="shared" si="4"/>
        <v>0.22170166666666671</v>
      </c>
      <c r="G80" s="144">
        <f>G78*0.4</f>
        <v>7.7777777777777792E-6</v>
      </c>
      <c r="H80" s="59">
        <f t="shared" si="5"/>
        <v>2.2835244444444448E-2</v>
      </c>
      <c r="I80" s="144">
        <f>I78*0.4</f>
        <v>7.7777777777777792E-6</v>
      </c>
      <c r="J80" s="52">
        <f>J37*I80</f>
        <v>2.4776188888888894E-2</v>
      </c>
      <c r="K80" s="144">
        <f>K78*0.4</f>
        <v>7.7777777777777792E-6</v>
      </c>
      <c r="L80" s="52">
        <f>L37*K80</f>
        <v>2.6225500000000002E-2</v>
      </c>
      <c r="M80" s="144">
        <f>M78*0.4</f>
        <v>7.7777777777777792E-6</v>
      </c>
      <c r="N80" s="52">
        <f>N37*M80</f>
        <v>2.7536677777777782E-2</v>
      </c>
      <c r="O80" s="42"/>
      <c r="P80" s="144">
        <f>P78*0.4</f>
        <v>0</v>
      </c>
      <c r="Q80" s="52">
        <f>Q37*P80</f>
        <v>0</v>
      </c>
      <c r="R80" s="42"/>
      <c r="S80" s="144">
        <f>S78*0.4</f>
        <v>7.7777777777777792E-6</v>
      </c>
      <c r="T80" s="52">
        <f>T37*S80</f>
        <v>2.6225500000000002E-2</v>
      </c>
      <c r="U80" s="42"/>
      <c r="V80" s="144">
        <f>V78*0.4</f>
        <v>0</v>
      </c>
      <c r="W80" s="52">
        <f>W37*V80</f>
        <v>0</v>
      </c>
    </row>
    <row r="81" spans="1:23" ht="15.75" thickBot="1" x14ac:dyDescent="0.3">
      <c r="A81" s="42"/>
      <c r="B81" s="369" t="s">
        <v>16</v>
      </c>
      <c r="C81" s="370"/>
      <c r="D81" s="370"/>
      <c r="E81" s="146">
        <f>SUM(E75:E80)</f>
        <v>3.1640861111111113E-2</v>
      </c>
      <c r="F81" s="5">
        <f>SUM(F75:F80)</f>
        <v>90.19069255416666</v>
      </c>
      <c r="G81" s="60"/>
      <c r="H81" s="13">
        <f>SUM(H75:H80)</f>
        <v>89.617495858777787</v>
      </c>
      <c r="I81" s="41"/>
      <c r="J81" s="5">
        <f>SUM(J75:J80)</f>
        <v>97.234781547805554</v>
      </c>
      <c r="K81" s="41"/>
      <c r="L81" s="5">
        <f>SUM(L75:L80)</f>
        <v>102.92263975374999</v>
      </c>
      <c r="M81" s="41"/>
      <c r="N81" s="5">
        <f>SUM(N75:N80)</f>
        <v>108.0683901903611</v>
      </c>
      <c r="O81" s="42"/>
      <c r="P81" s="41"/>
      <c r="Q81" s="5">
        <f>SUM(Q75:Q80)</f>
        <v>0</v>
      </c>
      <c r="R81" s="42"/>
      <c r="S81" s="41"/>
      <c r="T81" s="5">
        <f>SUM(T75:T80)</f>
        <v>102.92263975374999</v>
      </c>
      <c r="U81" s="42"/>
      <c r="V81" s="41"/>
      <c r="W81" s="5">
        <f>SUM(W75:W80)</f>
        <v>0</v>
      </c>
    </row>
    <row r="82" spans="1:23" ht="15.75" thickBot="1" x14ac:dyDescent="0.3">
      <c r="A82" s="42"/>
      <c r="B82" s="135"/>
      <c r="C82" s="135"/>
      <c r="D82" s="135"/>
      <c r="E82" s="135"/>
      <c r="F82" s="25"/>
      <c r="G82" s="42"/>
      <c r="H82" s="25"/>
      <c r="I82" s="42"/>
      <c r="J82" s="25"/>
      <c r="K82" s="42"/>
      <c r="L82" s="25"/>
      <c r="M82" s="42"/>
      <c r="N82" s="25"/>
      <c r="O82" s="42"/>
      <c r="P82" s="42"/>
      <c r="Q82" s="25"/>
      <c r="R82" s="42"/>
      <c r="S82" s="42"/>
      <c r="T82" s="25"/>
      <c r="U82" s="42"/>
      <c r="V82" s="42"/>
      <c r="W82" s="25"/>
    </row>
    <row r="83" spans="1:23" ht="15.75" thickBot="1" x14ac:dyDescent="0.3">
      <c r="A83" s="42"/>
      <c r="B83" s="369" t="s">
        <v>105</v>
      </c>
      <c r="C83" s="370"/>
      <c r="D83" s="370"/>
      <c r="E83" s="370"/>
      <c r="F83" s="370"/>
      <c r="G83" s="370"/>
      <c r="H83" s="370"/>
      <c r="I83" s="370"/>
      <c r="J83" s="370"/>
      <c r="K83" s="370"/>
      <c r="L83" s="370"/>
      <c r="M83" s="370"/>
      <c r="N83" s="371"/>
      <c r="O83" s="42"/>
      <c r="P83" s="42"/>
      <c r="Q83" s="42"/>
      <c r="R83" s="42"/>
      <c r="S83" s="42"/>
      <c r="T83" s="42"/>
      <c r="U83" s="42"/>
      <c r="V83" s="42"/>
      <c r="W83" s="42"/>
    </row>
    <row r="84" spans="1:23" ht="15.75" thickBot="1" x14ac:dyDescent="0.3">
      <c r="A84" s="42"/>
      <c r="B84" s="369" t="s">
        <v>106</v>
      </c>
      <c r="C84" s="370"/>
      <c r="D84" s="370"/>
      <c r="E84" s="370"/>
      <c r="F84" s="370"/>
      <c r="G84" s="370"/>
      <c r="H84" s="370"/>
      <c r="I84" s="370"/>
      <c r="J84" s="370"/>
      <c r="K84" s="370"/>
      <c r="L84" s="370"/>
      <c r="M84" s="370"/>
      <c r="N84" s="371"/>
      <c r="O84" s="42"/>
      <c r="P84" s="42"/>
      <c r="Q84" s="42"/>
      <c r="R84" s="42"/>
      <c r="S84" s="42"/>
      <c r="T84" s="42"/>
      <c r="U84" s="42"/>
      <c r="V84" s="42"/>
      <c r="W84" s="42"/>
    </row>
    <row r="85" spans="1:23" ht="15.75" thickBot="1" x14ac:dyDescent="0.25">
      <c r="A85" s="42"/>
      <c r="B85" s="139" t="s">
        <v>48</v>
      </c>
      <c r="C85" s="441" t="s">
        <v>46</v>
      </c>
      <c r="D85" s="447"/>
      <c r="E85" s="28" t="s">
        <v>13</v>
      </c>
      <c r="F85" s="30" t="s">
        <v>35</v>
      </c>
      <c r="G85" s="95" t="s">
        <v>13</v>
      </c>
      <c r="H85" s="95" t="s">
        <v>35</v>
      </c>
      <c r="I85" s="95" t="s">
        <v>13</v>
      </c>
      <c r="J85" s="31" t="s">
        <v>35</v>
      </c>
      <c r="K85" s="95" t="s">
        <v>13</v>
      </c>
      <c r="L85" s="31" t="s">
        <v>35</v>
      </c>
      <c r="M85" s="95" t="s">
        <v>13</v>
      </c>
      <c r="N85" s="31" t="s">
        <v>35</v>
      </c>
      <c r="O85" s="42"/>
      <c r="P85" s="95" t="s">
        <v>13</v>
      </c>
      <c r="Q85" s="31" t="s">
        <v>35</v>
      </c>
      <c r="R85" s="42"/>
      <c r="S85" s="95" t="s">
        <v>13</v>
      </c>
      <c r="T85" s="31" t="s">
        <v>35</v>
      </c>
      <c r="U85" s="42"/>
      <c r="V85" s="95" t="s">
        <v>13</v>
      </c>
      <c r="W85" s="31" t="s">
        <v>35</v>
      </c>
    </row>
    <row r="86" spans="1:23" ht="13.5" thickBot="1" x14ac:dyDescent="0.25">
      <c r="A86" s="42"/>
      <c r="B86" s="70" t="s">
        <v>1</v>
      </c>
      <c r="C86" s="432" t="s">
        <v>164</v>
      </c>
      <c r="D86" s="445"/>
      <c r="E86" s="88">
        <f>ROUND((1/12+1/12*1/3)/12,4)</f>
        <v>9.2999999999999992E-3</v>
      </c>
      <c r="F86" s="46">
        <f>$F$37*E86</f>
        <v>26.509184999999995</v>
      </c>
      <c r="G86" s="88">
        <f>ROUND((1/12+1/12*1/3)/12,4)</f>
        <v>9.2999999999999992E-3</v>
      </c>
      <c r="H86" s="61">
        <f>$H$37*G86</f>
        <v>27.304427999999998</v>
      </c>
      <c r="I86" s="88">
        <f>ROUND((1/12+1/12*1/3)/12,4)</f>
        <v>9.2999999999999992E-3</v>
      </c>
      <c r="J86" s="46">
        <f>J37*I86</f>
        <v>29.625243000000001</v>
      </c>
      <c r="K86" s="88">
        <f>ROUND((1/12+1/12*1/3)/12,4)</f>
        <v>9.2999999999999992E-3</v>
      </c>
      <c r="L86" s="46">
        <f>L37*K86</f>
        <v>31.358204999999998</v>
      </c>
      <c r="M86" s="88">
        <f>ROUND((1/12+1/12*1/3)/12,4)</f>
        <v>9.2999999999999992E-3</v>
      </c>
      <c r="N86" s="46">
        <f>N37*M86</f>
        <v>32.925998999999997</v>
      </c>
      <c r="O86" s="42"/>
      <c r="P86" s="88">
        <v>0</v>
      </c>
      <c r="Q86" s="46">
        <f>Q37*P86</f>
        <v>0</v>
      </c>
      <c r="R86" s="42"/>
      <c r="S86" s="88">
        <v>0</v>
      </c>
      <c r="T86" s="46">
        <f>T37*S86</f>
        <v>0</v>
      </c>
      <c r="U86" s="42"/>
      <c r="V86" s="88">
        <f>ROUND((1/12+1/12*1/3)/12,4)</f>
        <v>9.2999999999999992E-3</v>
      </c>
      <c r="W86" s="46">
        <f>N37*V86</f>
        <v>32.925998999999997</v>
      </c>
    </row>
    <row r="87" spans="1:23" x14ac:dyDescent="0.2">
      <c r="A87" s="42"/>
      <c r="B87" s="71" t="s">
        <v>2</v>
      </c>
      <c r="C87" s="409" t="s">
        <v>165</v>
      </c>
      <c r="D87" s="415"/>
      <c r="E87" s="123">
        <f>((2.96/30)/12)*3%</f>
        <v>2.4666666666666668E-4</v>
      </c>
      <c r="F87" s="82">
        <f>$F$37*E87</f>
        <v>0.70311100000000004</v>
      </c>
      <c r="G87" s="123">
        <f>((2.96/30)/12)*3%</f>
        <v>2.4666666666666668E-4</v>
      </c>
      <c r="H87" s="52">
        <f>$H$37*G87</f>
        <v>0.72420346666666668</v>
      </c>
      <c r="I87" s="123">
        <f>((2.96/30)/12)*3%</f>
        <v>2.4666666666666668E-4</v>
      </c>
      <c r="J87" s="52">
        <f>J37*I87</f>
        <v>0.78575913333333347</v>
      </c>
      <c r="K87" s="123">
        <f>((2.96/30)/12)*3%</f>
        <v>2.4666666666666668E-4</v>
      </c>
      <c r="L87" s="52">
        <f>L37*K87</f>
        <v>0.83172299999999999</v>
      </c>
      <c r="M87" s="123">
        <f>((2.96/30)/12)*3%</f>
        <v>2.4666666666666668E-4</v>
      </c>
      <c r="N87" s="52">
        <f>N37*M87</f>
        <v>0.87330606666666666</v>
      </c>
      <c r="O87" s="42"/>
      <c r="P87" s="123">
        <v>0</v>
      </c>
      <c r="Q87" s="52">
        <f>Q37*P87</f>
        <v>0</v>
      </c>
      <c r="R87" s="42"/>
      <c r="S87" s="88">
        <v>0</v>
      </c>
      <c r="T87" s="52">
        <f>(T37+T71+T81)/30</f>
        <v>189.32938299179168</v>
      </c>
      <c r="U87" s="42"/>
      <c r="V87" s="123">
        <v>0</v>
      </c>
      <c r="W87" s="52">
        <f>W37*V87</f>
        <v>0</v>
      </c>
    </row>
    <row r="88" spans="1:23" x14ac:dyDescent="0.2">
      <c r="A88" s="42"/>
      <c r="B88" s="71" t="s">
        <v>4</v>
      </c>
      <c r="C88" s="409" t="s">
        <v>166</v>
      </c>
      <c r="D88" s="415"/>
      <c r="E88" s="51">
        <f>ROUND(5/30/12*1.5%,4)</f>
        <v>2.0000000000000001E-4</v>
      </c>
      <c r="F88" s="52">
        <f>$F$37*E88</f>
        <v>0.57008999999999999</v>
      </c>
      <c r="G88" s="51">
        <f>ROUND(5/30/12*1.5%,4)</f>
        <v>2.0000000000000001E-4</v>
      </c>
      <c r="H88" s="52">
        <f>$H$37*G88</f>
        <v>0.58719200000000005</v>
      </c>
      <c r="I88" s="51">
        <f>ROUND(5/30/12*1.5%,4)</f>
        <v>2.0000000000000001E-4</v>
      </c>
      <c r="J88" s="52">
        <f>J37*I88</f>
        <v>0.63710200000000006</v>
      </c>
      <c r="K88" s="51">
        <f>ROUND(5/30/12*1.5%,4)</f>
        <v>2.0000000000000001E-4</v>
      </c>
      <c r="L88" s="52">
        <f>L37*K88</f>
        <v>0.67437000000000002</v>
      </c>
      <c r="M88" s="51">
        <f>ROUND(5/30/12*1.5%,4)</f>
        <v>2.0000000000000001E-4</v>
      </c>
      <c r="N88" s="52">
        <f>N37*M88</f>
        <v>0.70808599999999999</v>
      </c>
      <c r="O88" s="42"/>
      <c r="P88" s="51">
        <v>0</v>
      </c>
      <c r="Q88" s="52">
        <f>Q37*P88</f>
        <v>0</v>
      </c>
      <c r="R88" s="42"/>
      <c r="S88" s="51">
        <v>0</v>
      </c>
      <c r="T88" s="52">
        <f>T37*S88</f>
        <v>0</v>
      </c>
      <c r="U88" s="42"/>
      <c r="V88" s="51">
        <v>0</v>
      </c>
      <c r="W88" s="52">
        <f>W37*V88</f>
        <v>0</v>
      </c>
    </row>
    <row r="89" spans="1:23" x14ac:dyDescent="0.2">
      <c r="A89" s="42"/>
      <c r="B89" s="71" t="s">
        <v>5</v>
      </c>
      <c r="C89" s="454" t="s">
        <v>167</v>
      </c>
      <c r="D89" s="455"/>
      <c r="E89" s="34">
        <f>ROUND(15/30/12*0.01,4)</f>
        <v>4.0000000000000002E-4</v>
      </c>
      <c r="F89" s="84">
        <f>$F$37*E89</f>
        <v>1.14018</v>
      </c>
      <c r="G89" s="34">
        <f>ROUND(15/30/12*0.01,4)</f>
        <v>4.0000000000000002E-4</v>
      </c>
      <c r="H89" s="52">
        <f>$H$37*G89</f>
        <v>1.1743840000000001</v>
      </c>
      <c r="I89" s="34">
        <f>ROUND(15/30/12*0.01,4)</f>
        <v>4.0000000000000002E-4</v>
      </c>
      <c r="J89" s="52">
        <f>J37*I89</f>
        <v>1.2742040000000001</v>
      </c>
      <c r="K89" s="34">
        <f>ROUND(15/30/12*0.01,4)</f>
        <v>4.0000000000000002E-4</v>
      </c>
      <c r="L89" s="52">
        <f>L37*K89</f>
        <v>1.34874</v>
      </c>
      <c r="M89" s="34">
        <f>ROUND(15/30/12*0.01,4)</f>
        <v>4.0000000000000002E-4</v>
      </c>
      <c r="N89" s="52">
        <f>N37*M89</f>
        <v>1.416172</v>
      </c>
      <c r="O89" s="42"/>
      <c r="P89" s="34">
        <v>0</v>
      </c>
      <c r="Q89" s="52">
        <f>Q37*P89</f>
        <v>0</v>
      </c>
      <c r="R89" s="42"/>
      <c r="S89" s="34">
        <v>0</v>
      </c>
      <c r="T89" s="52">
        <f>T37*S89</f>
        <v>0</v>
      </c>
      <c r="U89" s="42"/>
      <c r="V89" s="34">
        <v>0</v>
      </c>
      <c r="W89" s="52">
        <f>W37*V89</f>
        <v>0</v>
      </c>
    </row>
    <row r="90" spans="1:23" x14ac:dyDescent="0.2">
      <c r="A90" s="42"/>
      <c r="B90" s="71" t="s">
        <v>6</v>
      </c>
      <c r="C90" s="409" t="s">
        <v>168</v>
      </c>
      <c r="D90" s="415"/>
      <c r="E90" s="51">
        <f>ROUND(((1/12*4)+(1.33/12*4))/12*0.0025,4)</f>
        <v>2.0000000000000001E-4</v>
      </c>
      <c r="F90" s="52">
        <f>$F$37*E90</f>
        <v>0.57008999999999999</v>
      </c>
      <c r="G90" s="51">
        <f>ROUND(((1/12*4)+(1.33/12*4))/12*0.0025,4)</f>
        <v>2.0000000000000001E-4</v>
      </c>
      <c r="H90" s="52">
        <f>$H$37*G90</f>
        <v>0.58719200000000005</v>
      </c>
      <c r="I90" s="51">
        <f>ROUND(((1/12*4)+(1.33/12*4))/12*0.0025,4)</f>
        <v>2.0000000000000001E-4</v>
      </c>
      <c r="J90" s="52">
        <f>J37*I90</f>
        <v>0.63710200000000006</v>
      </c>
      <c r="K90" s="51">
        <f>ROUND(((1/12*4)+(1.33/12*4))/12*0.0025,4)</f>
        <v>2.0000000000000001E-4</v>
      </c>
      <c r="L90" s="52">
        <f>L37*K90</f>
        <v>0.67437000000000002</v>
      </c>
      <c r="M90" s="51">
        <f>ROUND(((1/12*4)+(1.33/12*4))/12*0.0025,4)</f>
        <v>2.0000000000000001E-4</v>
      </c>
      <c r="N90" s="52">
        <f>N37*M90</f>
        <v>0.70808599999999999</v>
      </c>
      <c r="O90" s="42"/>
      <c r="P90" s="51">
        <v>0</v>
      </c>
      <c r="Q90" s="52">
        <f>Q37*P90</f>
        <v>0</v>
      </c>
      <c r="R90" s="42"/>
      <c r="S90" s="51">
        <v>0</v>
      </c>
      <c r="T90" s="52">
        <f>T37*S90</f>
        <v>0</v>
      </c>
      <c r="U90" s="42"/>
      <c r="V90" s="51">
        <v>0</v>
      </c>
      <c r="W90" s="52">
        <f>W37*V90</f>
        <v>0</v>
      </c>
    </row>
    <row r="91" spans="1:23" ht="13.5" thickBot="1" x14ac:dyDescent="0.25">
      <c r="A91" s="42"/>
      <c r="B91" s="80" t="s">
        <v>7</v>
      </c>
      <c r="C91" s="378" t="s">
        <v>169</v>
      </c>
      <c r="D91" s="446"/>
      <c r="E91" s="53"/>
      <c r="F91" s="54">
        <f>ROUND($F$37*E91,2)</f>
        <v>0</v>
      </c>
      <c r="G91" s="53"/>
      <c r="H91" s="81">
        <f>ROUND($H$37*G91,2)</f>
        <v>0</v>
      </c>
      <c r="I91" s="53"/>
      <c r="J91" s="52">
        <f>ROUND(J37*I91,2)</f>
        <v>0</v>
      </c>
      <c r="K91" s="53"/>
      <c r="L91" s="52">
        <f>ROUND(L37*K91,2)</f>
        <v>0</v>
      </c>
      <c r="M91" s="53"/>
      <c r="N91" s="52">
        <f>ROUND(N37*M91,2)</f>
        <v>0</v>
      </c>
      <c r="O91" s="42"/>
      <c r="P91" s="53"/>
      <c r="Q91" s="52">
        <f>ROUND(Q37*P91,2)</f>
        <v>0</v>
      </c>
      <c r="R91" s="42"/>
      <c r="S91" s="53"/>
      <c r="T91" s="52">
        <f>ROUND(T37*S91,2)</f>
        <v>0</v>
      </c>
      <c r="U91" s="42"/>
      <c r="V91" s="53"/>
      <c r="W91" s="52">
        <f>ROUND($N$37*V91,2)</f>
        <v>0</v>
      </c>
    </row>
    <row r="92" spans="1:23" ht="15.75" thickBot="1" x14ac:dyDescent="0.3">
      <c r="A92" s="42"/>
      <c r="B92" s="369" t="s">
        <v>16</v>
      </c>
      <c r="C92" s="370"/>
      <c r="D92" s="370"/>
      <c r="E92" s="146">
        <f>SUM(E86:E91)</f>
        <v>1.0346666666666665E-2</v>
      </c>
      <c r="F92" s="5">
        <f>SUM(F86:F91)</f>
        <v>29.492655999999997</v>
      </c>
      <c r="G92" s="41"/>
      <c r="H92" s="5">
        <f>SUM(H86:H91)</f>
        <v>30.377399466666667</v>
      </c>
      <c r="I92" s="41"/>
      <c r="J92" s="5">
        <f>SUM(J86:J91)</f>
        <v>32.959410133333328</v>
      </c>
      <c r="K92" s="41"/>
      <c r="L92" s="5">
        <f>SUM(L86:L91)</f>
        <v>34.887408000000001</v>
      </c>
      <c r="M92" s="41"/>
      <c r="N92" s="5">
        <f>SUM(N86:N91)</f>
        <v>36.631649066666668</v>
      </c>
      <c r="O92" s="42"/>
      <c r="P92" s="41"/>
      <c r="Q92" s="5">
        <f>SUM(Q86:Q91)</f>
        <v>0</v>
      </c>
      <c r="R92" s="42"/>
      <c r="S92" s="41"/>
      <c r="T92" s="5">
        <f>SUM(T86:T91)</f>
        <v>189.32938299179168</v>
      </c>
      <c r="U92" s="42"/>
      <c r="V92" s="41"/>
      <c r="W92" s="5">
        <f>SUM(W86:W91)</f>
        <v>32.925998999999997</v>
      </c>
    </row>
    <row r="93" spans="1:23" ht="15.75" thickBot="1" x14ac:dyDescent="0.3">
      <c r="A93" s="42"/>
      <c r="B93" s="135"/>
      <c r="C93" s="135"/>
      <c r="D93" s="135"/>
      <c r="E93" s="87"/>
      <c r="F93" s="25"/>
      <c r="G93" s="42"/>
      <c r="H93" s="25"/>
      <c r="I93" s="42"/>
      <c r="J93" s="25"/>
      <c r="K93" s="42"/>
      <c r="L93" s="25"/>
      <c r="M93" s="42"/>
      <c r="N93" s="25"/>
      <c r="O93" s="42"/>
      <c r="P93" s="42"/>
      <c r="Q93" s="25"/>
      <c r="R93" s="42"/>
      <c r="S93" s="42"/>
      <c r="T93" s="25"/>
      <c r="U93" s="42"/>
      <c r="V93" s="42"/>
      <c r="W93" s="25"/>
    </row>
    <row r="94" spans="1:23" ht="15.75" thickBot="1" x14ac:dyDescent="0.3">
      <c r="A94" s="42"/>
      <c r="B94" s="369" t="s">
        <v>107</v>
      </c>
      <c r="C94" s="370"/>
      <c r="D94" s="370"/>
      <c r="E94" s="370"/>
      <c r="F94" s="370"/>
      <c r="G94" s="370"/>
      <c r="H94" s="370"/>
      <c r="I94" s="370"/>
      <c r="J94" s="370"/>
      <c r="K94" s="370"/>
      <c r="L94" s="370"/>
      <c r="M94" s="370"/>
      <c r="N94" s="371"/>
      <c r="O94" s="42"/>
      <c r="P94" s="42"/>
      <c r="Q94" s="42"/>
      <c r="R94" s="42"/>
      <c r="S94" s="42"/>
      <c r="T94" s="42"/>
      <c r="U94" s="42"/>
      <c r="V94" s="42"/>
      <c r="W94" s="42"/>
    </row>
    <row r="95" spans="1:23" ht="15.75" thickBot="1" x14ac:dyDescent="0.3">
      <c r="A95" s="42"/>
      <c r="B95" s="65" t="s">
        <v>49</v>
      </c>
      <c r="C95" s="369" t="s">
        <v>108</v>
      </c>
      <c r="D95" s="371"/>
      <c r="E95" s="134" t="s">
        <v>13</v>
      </c>
      <c r="F95" s="133" t="s">
        <v>35</v>
      </c>
      <c r="G95" s="4" t="s">
        <v>13</v>
      </c>
      <c r="H95" s="4" t="s">
        <v>35</v>
      </c>
      <c r="I95" s="4" t="s">
        <v>13</v>
      </c>
      <c r="J95" s="138" t="s">
        <v>35</v>
      </c>
      <c r="K95" s="4" t="s">
        <v>13</v>
      </c>
      <c r="L95" s="138" t="s">
        <v>35</v>
      </c>
      <c r="M95" s="4" t="s">
        <v>13</v>
      </c>
      <c r="N95" s="138" t="s">
        <v>35</v>
      </c>
      <c r="O95" s="42"/>
      <c r="P95" s="4" t="s">
        <v>13</v>
      </c>
      <c r="Q95" s="138" t="s">
        <v>35</v>
      </c>
      <c r="R95" s="42"/>
      <c r="S95" s="4" t="s">
        <v>13</v>
      </c>
      <c r="T95" s="138" t="s">
        <v>35</v>
      </c>
      <c r="U95" s="42"/>
      <c r="V95" s="4" t="s">
        <v>13</v>
      </c>
      <c r="W95" s="138" t="s">
        <v>35</v>
      </c>
    </row>
    <row r="96" spans="1:23" ht="13.5" thickBot="1" x14ac:dyDescent="0.25">
      <c r="A96" s="42"/>
      <c r="B96" s="70" t="s">
        <v>1</v>
      </c>
      <c r="C96" s="432" t="s">
        <v>109</v>
      </c>
      <c r="D96" s="445"/>
      <c r="E96" s="49"/>
      <c r="F96" s="50">
        <f>ROUND($F$37*E96,2)</f>
        <v>0</v>
      </c>
      <c r="G96" s="49"/>
      <c r="H96" s="101">
        <f>ROUND($H$37*G96,2)</f>
        <v>0</v>
      </c>
      <c r="I96" s="57"/>
      <c r="J96" s="50">
        <f>ROUND(J37*I96,2)</f>
        <v>0</v>
      </c>
      <c r="K96" s="57"/>
      <c r="L96" s="50">
        <f>ROUND(L37*K96,2)</f>
        <v>0</v>
      </c>
      <c r="M96" s="57"/>
      <c r="N96" s="50">
        <f>ROUND(N37*M96,2)</f>
        <v>0</v>
      </c>
      <c r="O96" s="42"/>
      <c r="P96" s="57"/>
      <c r="Q96" s="50">
        <f>ROUND(Q37*P96,2)</f>
        <v>0</v>
      </c>
      <c r="R96" s="42"/>
      <c r="S96" s="57"/>
      <c r="T96" s="50">
        <f>ROUND(T37*S96,2)</f>
        <v>0</v>
      </c>
      <c r="U96" s="42"/>
      <c r="V96" s="57"/>
      <c r="W96" s="50">
        <f>ROUND(W37*V96,2)</f>
        <v>0</v>
      </c>
    </row>
    <row r="97" spans="1:23" ht="13.5" customHeight="1" thickBot="1" x14ac:dyDescent="0.3">
      <c r="A97" s="42"/>
      <c r="B97" s="369" t="s">
        <v>16</v>
      </c>
      <c r="C97" s="370"/>
      <c r="D97" s="370"/>
      <c r="E97" s="371"/>
      <c r="F97" s="5">
        <f>F96</f>
        <v>0</v>
      </c>
      <c r="G97" s="41"/>
      <c r="H97" s="12">
        <f>H96</f>
        <v>0</v>
      </c>
      <c r="I97" s="41"/>
      <c r="J97" s="5">
        <f>J96</f>
        <v>0</v>
      </c>
      <c r="K97" s="41"/>
      <c r="L97" s="5">
        <f>L96</f>
        <v>0</v>
      </c>
      <c r="M97" s="41"/>
      <c r="N97" s="5">
        <f>N96</f>
        <v>0</v>
      </c>
      <c r="O97" s="42"/>
      <c r="P97" s="41"/>
      <c r="Q97" s="5">
        <f>Q96</f>
        <v>0</v>
      </c>
      <c r="R97" s="42"/>
      <c r="S97" s="41"/>
      <c r="T97" s="5">
        <f>T96</f>
        <v>0</v>
      </c>
      <c r="U97" s="42"/>
      <c r="V97" s="41"/>
      <c r="W97" s="5">
        <f>W96</f>
        <v>0</v>
      </c>
    </row>
    <row r="98" spans="1:23" ht="13.5" customHeight="1" thickBot="1" x14ac:dyDescent="0.3">
      <c r="A98" s="42"/>
      <c r="B98" s="135"/>
      <c r="C98" s="135"/>
      <c r="D98" s="135"/>
      <c r="E98" s="135"/>
      <c r="F98" s="25"/>
      <c r="G98" s="42"/>
      <c r="H98" s="25"/>
      <c r="I98" s="42"/>
      <c r="J98" s="25"/>
      <c r="K98" s="42"/>
      <c r="L98" s="25"/>
      <c r="M98" s="42"/>
      <c r="N98" s="25"/>
      <c r="O98" s="42"/>
      <c r="P98" s="42"/>
      <c r="Q98" s="25"/>
      <c r="R98" s="42"/>
      <c r="S98" s="42"/>
      <c r="T98" s="25"/>
      <c r="U98" s="42"/>
      <c r="V98" s="42"/>
      <c r="W98" s="25"/>
    </row>
    <row r="99" spans="1:23" ht="15.75" thickBot="1" x14ac:dyDescent="0.3">
      <c r="A99" s="42"/>
      <c r="B99" s="369" t="s">
        <v>110</v>
      </c>
      <c r="C99" s="370"/>
      <c r="D99" s="370"/>
      <c r="E99" s="370"/>
      <c r="F99" s="370"/>
      <c r="G99" s="370"/>
      <c r="H99" s="370"/>
      <c r="I99" s="370"/>
      <c r="J99" s="370"/>
      <c r="K99" s="370"/>
      <c r="L99" s="370"/>
      <c r="M99" s="370"/>
      <c r="N99" s="371"/>
      <c r="P99" s="42"/>
      <c r="Q99" s="42"/>
      <c r="R99" s="42"/>
      <c r="S99" s="42"/>
      <c r="T99" s="42"/>
      <c r="U99" s="42"/>
      <c r="V99" s="42"/>
      <c r="W99" s="42"/>
    </row>
    <row r="100" spans="1:23" ht="15.75" thickBot="1" x14ac:dyDescent="0.3">
      <c r="A100" s="42"/>
      <c r="B100" s="139">
        <v>4</v>
      </c>
      <c r="C100" s="370" t="s">
        <v>47</v>
      </c>
      <c r="D100" s="371"/>
      <c r="E100" s="134" t="s">
        <v>13</v>
      </c>
      <c r="F100" s="136" t="s">
        <v>35</v>
      </c>
      <c r="G100" s="4" t="s">
        <v>13</v>
      </c>
      <c r="H100" s="4" t="s">
        <v>35</v>
      </c>
      <c r="I100" s="4" t="s">
        <v>13</v>
      </c>
      <c r="J100" s="138" t="s">
        <v>35</v>
      </c>
      <c r="K100" s="4" t="s">
        <v>13</v>
      </c>
      <c r="L100" s="138" t="s">
        <v>35</v>
      </c>
      <c r="M100" s="4" t="s">
        <v>13</v>
      </c>
      <c r="N100" s="138" t="s">
        <v>35</v>
      </c>
      <c r="P100" s="4" t="s">
        <v>13</v>
      </c>
      <c r="Q100" s="138" t="s">
        <v>35</v>
      </c>
      <c r="R100" s="42"/>
      <c r="S100" s="4" t="s">
        <v>13</v>
      </c>
      <c r="T100" s="138" t="s">
        <v>35</v>
      </c>
      <c r="U100" s="42"/>
      <c r="V100" s="4" t="s">
        <v>13</v>
      </c>
      <c r="W100" s="138" t="s">
        <v>35</v>
      </c>
    </row>
    <row r="101" spans="1:23" x14ac:dyDescent="0.2">
      <c r="A101" s="42"/>
      <c r="B101" s="70" t="s">
        <v>48</v>
      </c>
      <c r="C101" s="432" t="s">
        <v>46</v>
      </c>
      <c r="D101" s="445"/>
      <c r="E101" s="145">
        <f>E92</f>
        <v>1.0346666666666665E-2</v>
      </c>
      <c r="F101" s="59">
        <f>F92</f>
        <v>29.492655999999997</v>
      </c>
      <c r="G101" s="49"/>
      <c r="H101" s="59">
        <f>H92</f>
        <v>30.377399466666667</v>
      </c>
      <c r="I101" s="49"/>
      <c r="J101" s="46">
        <f>J92</f>
        <v>32.959410133333328</v>
      </c>
      <c r="K101" s="49"/>
      <c r="L101" s="46">
        <f>L92</f>
        <v>34.887408000000001</v>
      </c>
      <c r="M101" s="49"/>
      <c r="N101" s="46">
        <f>N92</f>
        <v>36.631649066666668</v>
      </c>
      <c r="P101" s="49"/>
      <c r="Q101" s="46">
        <f>Q92</f>
        <v>0</v>
      </c>
      <c r="R101" s="42"/>
      <c r="S101" s="49"/>
      <c r="T101" s="46">
        <f>T92</f>
        <v>189.32938299179168</v>
      </c>
      <c r="U101" s="42"/>
      <c r="V101" s="49"/>
      <c r="W101" s="46">
        <f>W92</f>
        <v>32.925998999999997</v>
      </c>
    </row>
    <row r="102" spans="1:23" ht="13.5" thickBot="1" x14ac:dyDescent="0.25">
      <c r="A102" s="42"/>
      <c r="B102" s="71" t="s">
        <v>49</v>
      </c>
      <c r="C102" s="409" t="s">
        <v>108</v>
      </c>
      <c r="D102" s="415"/>
      <c r="E102" s="51"/>
      <c r="F102" s="59">
        <f>F97</f>
        <v>0</v>
      </c>
      <c r="G102" s="51"/>
      <c r="H102" s="59">
        <f>H97</f>
        <v>0</v>
      </c>
      <c r="I102" s="51"/>
      <c r="J102" s="58">
        <f>J97</f>
        <v>0</v>
      </c>
      <c r="K102" s="51"/>
      <c r="L102" s="58">
        <f>L97</f>
        <v>0</v>
      </c>
      <c r="M102" s="51"/>
      <c r="N102" s="58">
        <f>N97</f>
        <v>0</v>
      </c>
      <c r="O102" s="42"/>
      <c r="P102" s="51"/>
      <c r="Q102" s="58">
        <f>Q97</f>
        <v>0</v>
      </c>
      <c r="R102" s="42"/>
      <c r="S102" s="51"/>
      <c r="T102" s="58">
        <f>T97</f>
        <v>0</v>
      </c>
      <c r="U102" s="42"/>
      <c r="V102" s="51"/>
      <c r="W102" s="58">
        <f>W97</f>
        <v>0</v>
      </c>
    </row>
    <row r="103" spans="1:23" ht="15.75" thickBot="1" x14ac:dyDescent="0.3">
      <c r="A103" s="42"/>
      <c r="B103" s="369" t="s">
        <v>16</v>
      </c>
      <c r="C103" s="370"/>
      <c r="D103" s="370"/>
      <c r="E103" s="100"/>
      <c r="F103" s="5">
        <f>SUM(F101:F102)</f>
        <v>29.492655999999997</v>
      </c>
      <c r="G103" s="60"/>
      <c r="H103" s="13">
        <f>SUM(H101:H102)</f>
        <v>30.377399466666667</v>
      </c>
      <c r="I103" s="41"/>
      <c r="J103" s="5">
        <f>SUM(J101:J102)</f>
        <v>32.959410133333328</v>
      </c>
      <c r="K103" s="41"/>
      <c r="L103" s="5">
        <f>SUM(L101:L102)</f>
        <v>34.887408000000001</v>
      </c>
      <c r="M103" s="41"/>
      <c r="N103" s="5">
        <f>SUM(N101:N102)</f>
        <v>36.631649066666668</v>
      </c>
      <c r="O103" s="42"/>
      <c r="P103" s="41"/>
      <c r="Q103" s="5">
        <f>SUM(Q101:Q102)</f>
        <v>0</v>
      </c>
      <c r="R103" s="42"/>
      <c r="S103" s="41"/>
      <c r="T103" s="5">
        <f>SUM(T101:T102)</f>
        <v>189.32938299179168</v>
      </c>
      <c r="U103" s="42"/>
      <c r="V103" s="41"/>
      <c r="W103" s="5">
        <f>SUM(W101:W102)</f>
        <v>32.925998999999997</v>
      </c>
    </row>
    <row r="104" spans="1:23" ht="15.75" thickBot="1" x14ac:dyDescent="0.3">
      <c r="A104" s="42"/>
      <c r="B104" s="42"/>
      <c r="C104" s="87"/>
      <c r="D104" s="87"/>
      <c r="E104" s="87"/>
      <c r="F104" s="25"/>
      <c r="G104" s="42"/>
      <c r="H104" s="25"/>
      <c r="I104" s="42"/>
      <c r="J104" s="25"/>
      <c r="K104" s="42"/>
      <c r="L104" s="25"/>
      <c r="M104" s="42"/>
      <c r="N104" s="25"/>
      <c r="O104" s="42"/>
      <c r="P104" s="42"/>
      <c r="Q104" s="25"/>
      <c r="R104" s="42"/>
      <c r="S104" s="42"/>
      <c r="T104" s="25"/>
      <c r="U104" s="42"/>
      <c r="V104" s="42"/>
      <c r="W104" s="25"/>
    </row>
    <row r="105" spans="1:23" ht="15.75" thickBot="1" x14ac:dyDescent="0.3">
      <c r="A105" s="42"/>
      <c r="B105" s="369" t="s">
        <v>111</v>
      </c>
      <c r="C105" s="370"/>
      <c r="D105" s="370"/>
      <c r="E105" s="370"/>
      <c r="F105" s="370"/>
      <c r="G105" s="370"/>
      <c r="H105" s="370"/>
      <c r="I105" s="370"/>
      <c r="J105" s="370"/>
      <c r="K105" s="370"/>
      <c r="L105" s="370"/>
      <c r="M105" s="370"/>
      <c r="N105" s="371"/>
      <c r="O105" s="42"/>
      <c r="P105" s="42"/>
      <c r="Q105" s="42"/>
      <c r="R105" s="42"/>
      <c r="S105" s="42"/>
      <c r="T105" s="42"/>
      <c r="U105" s="42"/>
      <c r="V105" s="42"/>
      <c r="W105" s="42"/>
    </row>
    <row r="106" spans="1:23" ht="15.75" thickBot="1" x14ac:dyDescent="0.3">
      <c r="A106" s="42"/>
      <c r="B106" s="65">
        <v>5</v>
      </c>
      <c r="C106" s="456" t="s">
        <v>15</v>
      </c>
      <c r="D106" s="457"/>
      <c r="E106" s="28" t="s">
        <v>13</v>
      </c>
      <c r="F106" s="30" t="s">
        <v>35</v>
      </c>
      <c r="G106" s="95" t="s">
        <v>13</v>
      </c>
      <c r="H106" s="95" t="s">
        <v>35</v>
      </c>
      <c r="I106" s="95" t="s">
        <v>13</v>
      </c>
      <c r="J106" s="31" t="s">
        <v>35</v>
      </c>
      <c r="K106" s="95" t="s">
        <v>13</v>
      </c>
      <c r="L106" s="31" t="s">
        <v>35</v>
      </c>
      <c r="M106" s="95" t="s">
        <v>13</v>
      </c>
      <c r="N106" s="31" t="s">
        <v>35</v>
      </c>
      <c r="O106" s="42"/>
      <c r="P106" s="95" t="s">
        <v>13</v>
      </c>
      <c r="Q106" s="31" t="s">
        <v>35</v>
      </c>
      <c r="R106" s="42"/>
      <c r="S106" s="95" t="s">
        <v>13</v>
      </c>
      <c r="T106" s="31" t="s">
        <v>35</v>
      </c>
      <c r="U106" s="42"/>
      <c r="V106" s="95" t="s">
        <v>13</v>
      </c>
      <c r="W106" s="31" t="s">
        <v>35</v>
      </c>
    </row>
    <row r="107" spans="1:23" x14ac:dyDescent="0.2">
      <c r="A107" s="42"/>
      <c r="B107" s="70" t="s">
        <v>1</v>
      </c>
      <c r="C107" s="432" t="s">
        <v>38</v>
      </c>
      <c r="D107" s="445"/>
      <c r="E107" s="49"/>
      <c r="F107" s="46">
        <f>Uniforme!$E$12</f>
        <v>48.333333333333336</v>
      </c>
      <c r="G107" s="49"/>
      <c r="H107" s="46">
        <f>Uniforme!$E$12</f>
        <v>48.333333333333336</v>
      </c>
      <c r="I107" s="49"/>
      <c r="J107" s="46">
        <f>Uniforme!$E$12</f>
        <v>48.333333333333336</v>
      </c>
      <c r="K107" s="49"/>
      <c r="L107" s="46">
        <f>Uniforme!$E$12</f>
        <v>48.333333333333336</v>
      </c>
      <c r="M107" s="49"/>
      <c r="N107" s="46">
        <f>Uniforme!$E$12</f>
        <v>48.333333333333336</v>
      </c>
      <c r="O107" s="42"/>
      <c r="P107" s="49"/>
      <c r="Q107" s="46">
        <f>Uniforme!$E$12</f>
        <v>48.333333333333336</v>
      </c>
      <c r="R107" s="42"/>
      <c r="S107" s="49"/>
      <c r="T107" s="46"/>
      <c r="U107" s="42"/>
      <c r="V107" s="49"/>
      <c r="W107" s="46">
        <v>0</v>
      </c>
    </row>
    <row r="108" spans="1:23" x14ac:dyDescent="0.2">
      <c r="A108" s="42"/>
      <c r="B108" s="71" t="s">
        <v>2</v>
      </c>
      <c r="C108" s="409" t="s">
        <v>39</v>
      </c>
      <c r="D108" s="415"/>
      <c r="E108" s="51"/>
      <c r="F108" s="82">
        <f>Materiais!$H$35</f>
        <v>3.0599999999999996</v>
      </c>
      <c r="G108" s="51"/>
      <c r="H108" s="82">
        <f>Materiais!$H$35</f>
        <v>3.0599999999999996</v>
      </c>
      <c r="I108" s="51"/>
      <c r="J108" s="82">
        <f>Materiais!$H$35</f>
        <v>3.0599999999999996</v>
      </c>
      <c r="K108" s="51"/>
      <c r="L108" s="82">
        <f>Materiais!$H$35</f>
        <v>3.0599999999999996</v>
      </c>
      <c r="M108" s="51"/>
      <c r="N108" s="82">
        <f>Materiais!$H$35</f>
        <v>3.0599999999999996</v>
      </c>
      <c r="O108" s="42"/>
      <c r="P108" s="51"/>
      <c r="Q108" s="82">
        <f>Materiais!$H$35</f>
        <v>3.0599999999999996</v>
      </c>
      <c r="R108" s="42"/>
      <c r="S108" s="51"/>
      <c r="T108" s="82"/>
      <c r="U108" s="42"/>
      <c r="V108" s="51"/>
      <c r="W108" s="82">
        <v>0</v>
      </c>
    </row>
    <row r="109" spans="1:23" x14ac:dyDescent="0.2">
      <c r="A109" s="42"/>
      <c r="B109" s="71" t="s">
        <v>4</v>
      </c>
      <c r="C109" s="409" t="s">
        <v>220</v>
      </c>
      <c r="D109" s="415"/>
      <c r="E109" s="51"/>
      <c r="F109" s="52">
        <f>Equipamento!$I$7</f>
        <v>1.0256410256410258</v>
      </c>
      <c r="G109" s="51"/>
      <c r="H109" s="52">
        <f>Equipamento!$I$7</f>
        <v>1.0256410256410258</v>
      </c>
      <c r="I109" s="51"/>
      <c r="J109" s="52">
        <f>Equipamento!$I$7</f>
        <v>1.0256410256410258</v>
      </c>
      <c r="K109" s="51"/>
      <c r="L109" s="52">
        <f>Equipamento!$I$7</f>
        <v>1.0256410256410258</v>
      </c>
      <c r="M109" s="51"/>
      <c r="N109" s="52">
        <f>Equipamento!$I$7</f>
        <v>1.0256410256410258</v>
      </c>
      <c r="O109" s="42"/>
      <c r="P109" s="51"/>
      <c r="Q109" s="52">
        <f>Equipamento!$I$7</f>
        <v>1.0256410256410258</v>
      </c>
      <c r="R109" s="42"/>
      <c r="S109" s="51"/>
      <c r="T109" s="52"/>
      <c r="U109" s="42"/>
      <c r="V109" s="51"/>
      <c r="W109" s="52">
        <v>0</v>
      </c>
    </row>
    <row r="110" spans="1:23" ht="13.5" thickBot="1" x14ac:dyDescent="0.25">
      <c r="A110" s="42"/>
      <c r="B110" s="71" t="s">
        <v>5</v>
      </c>
      <c r="C110" s="409" t="s">
        <v>37</v>
      </c>
      <c r="D110" s="415"/>
      <c r="E110" s="34"/>
      <c r="F110" s="98"/>
      <c r="G110" s="34"/>
      <c r="H110" s="54"/>
      <c r="I110" s="51"/>
      <c r="J110" s="52"/>
      <c r="K110" s="51"/>
      <c r="L110" s="52"/>
      <c r="M110" s="51"/>
      <c r="N110" s="52"/>
      <c r="O110" s="42"/>
      <c r="P110" s="51"/>
      <c r="Q110" s="52"/>
      <c r="R110" s="42"/>
      <c r="S110" s="51"/>
      <c r="T110" s="52"/>
      <c r="U110" s="42"/>
      <c r="V110" s="51"/>
      <c r="W110" s="52"/>
    </row>
    <row r="111" spans="1:23" ht="15.75" thickBot="1" x14ac:dyDescent="0.3">
      <c r="A111" s="42"/>
      <c r="B111" s="41"/>
      <c r="C111" s="438" t="s">
        <v>16</v>
      </c>
      <c r="D111" s="439"/>
      <c r="E111" s="440"/>
      <c r="F111" s="5">
        <f>SUM(F107:F110)</f>
        <v>52.418974358974367</v>
      </c>
      <c r="G111" s="41"/>
      <c r="H111" s="5">
        <f>SUM(H107:H110)</f>
        <v>52.418974358974367</v>
      </c>
      <c r="I111" s="41"/>
      <c r="J111" s="5">
        <f>SUM(J107:J110)</f>
        <v>52.418974358974367</v>
      </c>
      <c r="K111" s="41"/>
      <c r="L111" s="5">
        <f>SUM(L107:L110)</f>
        <v>52.418974358974367</v>
      </c>
      <c r="M111" s="41"/>
      <c r="N111" s="5">
        <f>SUM(N107:N110)</f>
        <v>52.418974358974367</v>
      </c>
      <c r="O111" s="42"/>
      <c r="P111" s="41"/>
      <c r="Q111" s="5">
        <f>SUM(Q107:Q110)</f>
        <v>52.418974358974367</v>
      </c>
      <c r="R111" s="42"/>
      <c r="S111" s="41"/>
      <c r="T111" s="5">
        <f>SUM(T107:T110)</f>
        <v>0</v>
      </c>
      <c r="U111" s="42"/>
      <c r="V111" s="41"/>
      <c r="W111" s="5">
        <f>SUM(W107:W110)</f>
        <v>0</v>
      </c>
    </row>
    <row r="112" spans="1:23" ht="15.75" thickBot="1" x14ac:dyDescent="0.3">
      <c r="A112" s="42"/>
      <c r="B112" s="42"/>
      <c r="C112" s="87"/>
      <c r="D112" s="87"/>
      <c r="E112" s="87"/>
      <c r="F112" s="25"/>
      <c r="G112" s="42"/>
      <c r="H112" s="25"/>
      <c r="I112" s="42"/>
      <c r="J112" s="25"/>
      <c r="K112" s="42"/>
      <c r="L112" s="25"/>
      <c r="M112" s="42"/>
      <c r="N112" s="25"/>
      <c r="O112" s="42"/>
      <c r="P112" s="42"/>
      <c r="Q112" s="25"/>
      <c r="R112" s="42"/>
      <c r="S112" s="42"/>
      <c r="T112" s="25"/>
      <c r="U112" s="42"/>
      <c r="V112" s="42"/>
      <c r="W112" s="25"/>
    </row>
    <row r="113" spans="1:23" ht="15.75" thickBot="1" x14ac:dyDescent="0.3">
      <c r="A113" s="42"/>
      <c r="B113" s="369" t="s">
        <v>124</v>
      </c>
      <c r="C113" s="370"/>
      <c r="D113" s="370"/>
      <c r="E113" s="370"/>
      <c r="F113" s="370"/>
      <c r="G113" s="370"/>
      <c r="H113" s="370"/>
      <c r="I113" s="370"/>
      <c r="J113" s="370"/>
      <c r="K113" s="370"/>
      <c r="L113" s="370"/>
      <c r="M113" s="370"/>
      <c r="N113" s="371"/>
      <c r="O113" s="42"/>
      <c r="P113" s="42"/>
      <c r="Q113" s="42"/>
      <c r="R113" s="42"/>
      <c r="S113" s="42"/>
      <c r="T113" s="42"/>
      <c r="U113" s="42"/>
      <c r="V113" s="42"/>
      <c r="W113" s="42"/>
    </row>
    <row r="114" spans="1:23" ht="15.75" thickBot="1" x14ac:dyDescent="0.3">
      <c r="A114" s="42"/>
      <c r="B114" s="65">
        <v>6</v>
      </c>
      <c r="C114" s="456" t="s">
        <v>59</v>
      </c>
      <c r="D114" s="457"/>
      <c r="E114" s="28" t="s">
        <v>13</v>
      </c>
      <c r="F114" s="30" t="s">
        <v>35</v>
      </c>
      <c r="G114" s="65" t="s">
        <v>13</v>
      </c>
      <c r="H114" s="66" t="s">
        <v>35</v>
      </c>
      <c r="I114" s="65" t="s">
        <v>13</v>
      </c>
      <c r="J114" s="66" t="s">
        <v>35</v>
      </c>
      <c r="K114" s="65" t="s">
        <v>13</v>
      </c>
      <c r="L114" s="66" t="s">
        <v>35</v>
      </c>
      <c r="M114" s="65" t="s">
        <v>13</v>
      </c>
      <c r="N114" s="66" t="s">
        <v>35</v>
      </c>
      <c r="O114" s="42"/>
      <c r="P114" s="65" t="s">
        <v>13</v>
      </c>
      <c r="Q114" s="66" t="s">
        <v>35</v>
      </c>
      <c r="R114" s="42"/>
      <c r="S114" s="65" t="s">
        <v>13</v>
      </c>
      <c r="T114" s="66" t="s">
        <v>35</v>
      </c>
      <c r="U114" s="42"/>
      <c r="V114" s="65" t="s">
        <v>13</v>
      </c>
      <c r="W114" s="66" t="s">
        <v>35</v>
      </c>
    </row>
    <row r="115" spans="1:23" x14ac:dyDescent="0.2">
      <c r="A115" s="42"/>
      <c r="B115" s="70" t="s">
        <v>1</v>
      </c>
      <c r="C115" s="432" t="s">
        <v>50</v>
      </c>
      <c r="D115" s="445"/>
      <c r="E115" s="57">
        <v>7.4000000000000003E-3</v>
      </c>
      <c r="F115" s="47">
        <f>F130*E115</f>
        <v>42.170880062164251</v>
      </c>
      <c r="G115" s="57">
        <v>7.4000000000000003E-3</v>
      </c>
      <c r="H115" s="47">
        <f>H130*G115</f>
        <v>43.447635150526303</v>
      </c>
      <c r="I115" s="57">
        <v>7.4000000000000003E-3</v>
      </c>
      <c r="J115" s="47">
        <f>J130*I115</f>
        <v>46.95553213695144</v>
      </c>
      <c r="K115" s="57">
        <v>7.4000000000000003E-3</v>
      </c>
      <c r="L115" s="47">
        <f>L130*K115</f>
        <v>49.574284004885158</v>
      </c>
      <c r="M115" s="57">
        <v>7.4000000000000003E-3</v>
      </c>
      <c r="N115" s="47">
        <f>N130*M115</f>
        <v>51.94303481691621</v>
      </c>
      <c r="O115" s="42"/>
      <c r="P115" s="57">
        <v>7.4000000000000003E-3</v>
      </c>
      <c r="Q115" s="47">
        <f>Q130*P115</f>
        <v>41.657395900256411</v>
      </c>
      <c r="R115" s="42"/>
      <c r="S115" s="57"/>
      <c r="T115" s="47">
        <f>T130*S115</f>
        <v>0</v>
      </c>
      <c r="U115" s="42"/>
      <c r="V115" s="57">
        <v>7.4000000000000003E-3</v>
      </c>
      <c r="W115" s="47">
        <f>W130*V115</f>
        <v>47.506976720600001</v>
      </c>
    </row>
    <row r="116" spans="1:23" x14ac:dyDescent="0.2">
      <c r="A116" s="42"/>
      <c r="B116" s="80" t="s">
        <v>2</v>
      </c>
      <c r="C116" s="378" t="s">
        <v>0</v>
      </c>
      <c r="D116" s="446"/>
      <c r="E116" s="67">
        <v>5.0000000000000001E-3</v>
      </c>
      <c r="F116" s="63">
        <f>(F130+F115)*E116</f>
        <v>28.70469228015153</v>
      </c>
      <c r="G116" s="67">
        <v>5.0000000000000001E-3</v>
      </c>
      <c r="H116" s="63">
        <f>(H130+H115)*G116</f>
        <v>29.573748412594728</v>
      </c>
      <c r="I116" s="67">
        <v>5.0000000000000001E-3</v>
      </c>
      <c r="J116" s="63">
        <f>(J130+J115)*I116</f>
        <v>31.961488564030326</v>
      </c>
      <c r="K116" s="67">
        <v>5.0000000000000001E-3</v>
      </c>
      <c r="L116" s="63">
        <f>(L130+L115)*K116</f>
        <v>33.744009261163043</v>
      </c>
      <c r="M116" s="67">
        <v>5.0000000000000001E-3</v>
      </c>
      <c r="N116" s="63">
        <f>(N130+N115)*M116</f>
        <v>35.356360320649586</v>
      </c>
      <c r="O116" s="42"/>
      <c r="P116" s="67">
        <v>5.0000000000000001E-3</v>
      </c>
      <c r="Q116" s="63">
        <f>(Q130+Q115)*P116</f>
        <v>28.355176101296152</v>
      </c>
      <c r="R116" s="42"/>
      <c r="S116" s="67"/>
      <c r="T116" s="63">
        <f>(T130+T115)*S116</f>
        <v>0</v>
      </c>
      <c r="U116" s="42"/>
      <c r="V116" s="67">
        <v>5.0000000000000001E-3</v>
      </c>
      <c r="W116" s="63">
        <f>(W130+W115)*V116</f>
        <v>32.336843478602994</v>
      </c>
    </row>
    <row r="117" spans="1:23" x14ac:dyDescent="0.2">
      <c r="A117" s="42"/>
      <c r="B117" s="71" t="s">
        <v>4</v>
      </c>
      <c r="C117" s="409" t="s">
        <v>14</v>
      </c>
      <c r="D117" s="415"/>
      <c r="E117" s="27">
        <f t="shared" ref="E117:N117" si="6">SUM(E118:E120)</f>
        <v>8.6499999999999994E-2</v>
      </c>
      <c r="F117" s="62">
        <f t="shared" si="6"/>
        <v>546.33140500000002</v>
      </c>
      <c r="G117" s="27">
        <f t="shared" si="6"/>
        <v>8.6499999999999994E-2</v>
      </c>
      <c r="H117" s="62">
        <f t="shared" si="6"/>
        <v>562.87279999999998</v>
      </c>
      <c r="I117" s="27">
        <f>SUM(I118:I120)</f>
        <v>8.6499999999999994E-2</v>
      </c>
      <c r="J117" s="62">
        <f>SUM(J118:J120)</f>
        <v>608.31916999999999</v>
      </c>
      <c r="K117" s="27">
        <f t="shared" ref="K117:L117" si="7">SUM(K118:K120)</f>
        <v>8.6499999999999994E-2</v>
      </c>
      <c r="L117" s="62">
        <f t="shared" si="7"/>
        <v>642.24483499999997</v>
      </c>
      <c r="M117" s="27">
        <f t="shared" si="6"/>
        <v>8.6499999999999994E-2</v>
      </c>
      <c r="N117" s="62">
        <f t="shared" si="6"/>
        <v>672.93394000000001</v>
      </c>
      <c r="O117" s="42"/>
      <c r="P117" s="27">
        <f>SUM(P118:P120)</f>
        <v>8.6499999999999994E-2</v>
      </c>
      <c r="Q117" s="62">
        <f>SUM(Q118:Q120)</f>
        <v>539.67605499999991</v>
      </c>
      <c r="R117" s="42"/>
      <c r="S117" s="27">
        <f>SUM(S118:S120)</f>
        <v>0</v>
      </c>
      <c r="T117" s="62">
        <f>SUM(T118:T120)</f>
        <v>0</v>
      </c>
      <c r="U117" s="42"/>
      <c r="V117" s="27">
        <f>SUM(V118:V120)</f>
        <v>8.6499999999999994E-2</v>
      </c>
      <c r="W117" s="62">
        <f>SUM(W118:W120)</f>
        <v>648.68370500000003</v>
      </c>
    </row>
    <row r="118" spans="1:23" x14ac:dyDescent="0.2">
      <c r="A118" s="42"/>
      <c r="B118" s="71"/>
      <c r="C118" s="409" t="s">
        <v>120</v>
      </c>
      <c r="D118" s="415"/>
      <c r="E118" s="34">
        <v>6.4999999999999997E-3</v>
      </c>
      <c r="F118" s="62">
        <f>E118*F132</f>
        <v>41.053804999999997</v>
      </c>
      <c r="G118" s="34">
        <v>6.4999999999999997E-3</v>
      </c>
      <c r="H118" s="62">
        <f>G118*H132</f>
        <v>42.296799999999998</v>
      </c>
      <c r="I118" s="34">
        <v>6.4999999999999997E-3</v>
      </c>
      <c r="J118" s="62">
        <f>I118*J132</f>
        <v>45.711769999999994</v>
      </c>
      <c r="K118" s="34">
        <v>6.4999999999999997E-3</v>
      </c>
      <c r="L118" s="62">
        <f>K118*L132</f>
        <v>48.261134999999996</v>
      </c>
      <c r="M118" s="34">
        <v>6.4999999999999997E-3</v>
      </c>
      <c r="N118" s="62">
        <f>M118*N132</f>
        <v>50.567140000000002</v>
      </c>
      <c r="O118" s="42"/>
      <c r="P118" s="34">
        <v>6.4999999999999997E-3</v>
      </c>
      <c r="Q118" s="62">
        <f>P118*Q132</f>
        <v>40.553954999999995</v>
      </c>
      <c r="R118" s="42"/>
      <c r="S118" s="34">
        <v>0</v>
      </c>
      <c r="T118" s="62">
        <f>S118*T132</f>
        <v>0</v>
      </c>
      <c r="U118" s="42"/>
      <c r="V118" s="34">
        <v>6.4999999999999997E-3</v>
      </c>
      <c r="W118" s="62">
        <f>V118*W132</f>
        <v>46.248604999999998</v>
      </c>
    </row>
    <row r="119" spans="1:23" x14ac:dyDescent="0.2">
      <c r="A119" s="42"/>
      <c r="B119" s="71"/>
      <c r="C119" s="409" t="s">
        <v>121</v>
      </c>
      <c r="D119" s="415"/>
      <c r="E119" s="34">
        <v>0.03</v>
      </c>
      <c r="F119" s="62">
        <f>E119*F132</f>
        <v>189.47909999999999</v>
      </c>
      <c r="G119" s="34">
        <v>0.03</v>
      </c>
      <c r="H119" s="62">
        <f>G119*H132</f>
        <v>195.21599999999998</v>
      </c>
      <c r="I119" s="34">
        <v>0.03</v>
      </c>
      <c r="J119" s="62">
        <f>I119*J132</f>
        <v>210.97739999999999</v>
      </c>
      <c r="K119" s="34">
        <v>0.03</v>
      </c>
      <c r="L119" s="62">
        <f>K119*L132</f>
        <v>222.74369999999999</v>
      </c>
      <c r="M119" s="34">
        <v>0.03</v>
      </c>
      <c r="N119" s="62">
        <f>M119*N132</f>
        <v>233.38679999999999</v>
      </c>
      <c r="O119" s="42"/>
      <c r="P119" s="34">
        <v>0.03</v>
      </c>
      <c r="Q119" s="62">
        <f>P119*Q132</f>
        <v>187.17209999999997</v>
      </c>
      <c r="R119" s="42"/>
      <c r="S119" s="34">
        <v>0</v>
      </c>
      <c r="T119" s="62">
        <f>S119*T132</f>
        <v>0</v>
      </c>
      <c r="U119" s="42"/>
      <c r="V119" s="34">
        <v>0.03</v>
      </c>
      <c r="W119" s="62">
        <f>V119*W132</f>
        <v>213.45509999999999</v>
      </c>
    </row>
    <row r="120" spans="1:23" ht="13.5" thickBot="1" x14ac:dyDescent="0.25">
      <c r="A120" s="42"/>
      <c r="B120" s="71"/>
      <c r="C120" s="409" t="s">
        <v>122</v>
      </c>
      <c r="D120" s="415"/>
      <c r="E120" s="34">
        <v>0.05</v>
      </c>
      <c r="F120" s="62">
        <f>E120*F132</f>
        <v>315.79850000000005</v>
      </c>
      <c r="G120" s="34">
        <v>0.05</v>
      </c>
      <c r="H120" s="62">
        <f>ROUND(G120*H132,2)</f>
        <v>325.36</v>
      </c>
      <c r="I120" s="34">
        <v>0.05</v>
      </c>
      <c r="J120" s="52">
        <f>ROUND(I120*J132,2)</f>
        <v>351.63</v>
      </c>
      <c r="K120" s="34">
        <v>0.05</v>
      </c>
      <c r="L120" s="52">
        <f>ROUND(K120*L132,2)</f>
        <v>371.24</v>
      </c>
      <c r="M120" s="34">
        <v>0.05</v>
      </c>
      <c r="N120" s="52">
        <f>ROUND(M120*N132,2)</f>
        <v>388.98</v>
      </c>
      <c r="O120" s="42"/>
      <c r="P120" s="34">
        <v>0.05</v>
      </c>
      <c r="Q120" s="52">
        <f>ROUND(P120*Q132,2)</f>
        <v>311.95</v>
      </c>
      <c r="R120" s="42"/>
      <c r="S120" s="34">
        <v>0</v>
      </c>
      <c r="T120" s="52">
        <f>ROUND(S120*T132,2)</f>
        <v>0</v>
      </c>
      <c r="U120" s="42"/>
      <c r="V120" s="34">
        <v>0.05</v>
      </c>
      <c r="W120" s="52">
        <f>ROUND(V120*$N$132,2)</f>
        <v>388.98</v>
      </c>
    </row>
    <row r="121" spans="1:23" ht="15.75" thickBot="1" x14ac:dyDescent="0.3">
      <c r="A121" s="42"/>
      <c r="B121" s="41"/>
      <c r="C121" s="438" t="s">
        <v>16</v>
      </c>
      <c r="D121" s="439"/>
      <c r="E121" s="440"/>
      <c r="F121" s="13">
        <f>ROUND(SUM(F115,F116,F117),2)</f>
        <v>617.21</v>
      </c>
      <c r="G121" s="41"/>
      <c r="H121" s="13">
        <f>ROUND(SUM(H115,H116,H117),2)</f>
        <v>635.89</v>
      </c>
      <c r="I121" s="41"/>
      <c r="J121" s="13">
        <f>ROUND(SUM(J115,J116,J117),2)</f>
        <v>687.24</v>
      </c>
      <c r="K121" s="41"/>
      <c r="L121" s="13">
        <f>ROUND(SUM(L115,L116,L117),2)</f>
        <v>725.56</v>
      </c>
      <c r="M121" s="41"/>
      <c r="N121" s="13">
        <f>ROUND(SUM(N115,N116,N117),2)</f>
        <v>760.23</v>
      </c>
      <c r="O121" s="42"/>
      <c r="P121" s="41"/>
      <c r="Q121" s="13">
        <f>ROUND(SUM(Q115,Q116,Q117),2)</f>
        <v>609.69000000000005</v>
      </c>
      <c r="R121" s="42"/>
      <c r="S121" s="41"/>
      <c r="T121" s="13">
        <f>ROUND(SUM(T115,T116,T117),2)</f>
        <v>0</v>
      </c>
      <c r="U121" s="42"/>
      <c r="V121" s="41"/>
      <c r="W121" s="13">
        <f>ROUND(SUM(W115,W116,W117),2)</f>
        <v>728.53</v>
      </c>
    </row>
    <row r="122" spans="1:23" ht="13.5" thickBot="1" x14ac:dyDescent="0.25">
      <c r="A122" s="42"/>
      <c r="B122" s="458"/>
      <c r="C122" s="458"/>
      <c r="D122" s="458"/>
      <c r="E122" s="458"/>
      <c r="F122" s="458"/>
      <c r="G122" s="42"/>
      <c r="H122" s="42"/>
      <c r="I122" s="42"/>
      <c r="J122" s="42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42"/>
      <c r="V122" s="42"/>
      <c r="W122" s="42"/>
    </row>
    <row r="123" spans="1:23" ht="15.75" thickBot="1" x14ac:dyDescent="0.3">
      <c r="A123" s="42"/>
      <c r="B123" s="369" t="s">
        <v>125</v>
      </c>
      <c r="C123" s="370"/>
      <c r="D123" s="370"/>
      <c r="E123" s="370"/>
      <c r="F123" s="370"/>
      <c r="G123" s="370"/>
      <c r="H123" s="370"/>
      <c r="I123" s="370"/>
      <c r="J123" s="370"/>
      <c r="K123" s="370"/>
      <c r="L123" s="370"/>
      <c r="M123" s="370"/>
      <c r="N123" s="371"/>
      <c r="O123" s="42"/>
      <c r="P123" s="42"/>
      <c r="Q123" s="42"/>
      <c r="R123" s="42"/>
      <c r="S123" s="42"/>
      <c r="T123" s="42"/>
      <c r="U123" s="42"/>
      <c r="V123" s="42"/>
      <c r="W123" s="42"/>
    </row>
    <row r="124" spans="1:23" ht="15.75" customHeight="1" thickBot="1" x14ac:dyDescent="0.3">
      <c r="A124" s="42"/>
      <c r="B124" s="100"/>
      <c r="C124" s="456" t="s">
        <v>127</v>
      </c>
      <c r="D124" s="456"/>
      <c r="E124" s="457"/>
      <c r="F124" s="136" t="s">
        <v>35</v>
      </c>
      <c r="G124" s="3"/>
      <c r="H124" s="6" t="s">
        <v>35</v>
      </c>
      <c r="I124" s="3"/>
      <c r="J124" s="4" t="s">
        <v>35</v>
      </c>
      <c r="K124" s="3"/>
      <c r="L124" s="4" t="s">
        <v>35</v>
      </c>
      <c r="M124" s="3"/>
      <c r="N124" s="4" t="s">
        <v>35</v>
      </c>
      <c r="O124" s="42"/>
      <c r="P124" s="3"/>
      <c r="Q124" s="4" t="s">
        <v>35</v>
      </c>
      <c r="R124" s="42"/>
      <c r="S124" s="3"/>
      <c r="T124" s="4" t="s">
        <v>35</v>
      </c>
      <c r="U124" s="42"/>
      <c r="V124" s="3"/>
      <c r="W124" s="4" t="s">
        <v>35</v>
      </c>
    </row>
    <row r="125" spans="1:23" x14ac:dyDescent="0.2">
      <c r="A125" s="42"/>
      <c r="B125" s="70" t="s">
        <v>1</v>
      </c>
      <c r="C125" s="70" t="s">
        <v>52</v>
      </c>
      <c r="D125" s="402" t="s">
        <v>57</v>
      </c>
      <c r="E125" s="402"/>
      <c r="F125" s="59">
        <f>$F$37</f>
        <v>2850.45</v>
      </c>
      <c r="G125" s="39"/>
      <c r="H125" s="46">
        <f>$H$37</f>
        <v>2935.96</v>
      </c>
      <c r="I125" s="39"/>
      <c r="J125" s="55">
        <f>J37</f>
        <v>3185.51</v>
      </c>
      <c r="K125" s="39"/>
      <c r="L125" s="55">
        <f>L37</f>
        <v>3371.85</v>
      </c>
      <c r="M125" s="39"/>
      <c r="N125" s="55">
        <f>N37</f>
        <v>3540.43</v>
      </c>
      <c r="O125" s="42"/>
      <c r="P125" s="39"/>
      <c r="Q125" s="55">
        <f>Q37</f>
        <v>3371.85</v>
      </c>
      <c r="R125" s="42"/>
      <c r="S125" s="39"/>
      <c r="T125" s="55">
        <v>0</v>
      </c>
      <c r="U125" s="42"/>
      <c r="V125" s="39"/>
      <c r="W125" s="55">
        <f>W37</f>
        <v>0</v>
      </c>
    </row>
    <row r="126" spans="1:23" x14ac:dyDescent="0.2">
      <c r="A126" s="42"/>
      <c r="B126" s="71" t="s">
        <v>2</v>
      </c>
      <c r="C126" s="71" t="s">
        <v>53</v>
      </c>
      <c r="D126" s="379" t="s">
        <v>100</v>
      </c>
      <c r="E126" s="379"/>
      <c r="F126" s="62">
        <f>F71</f>
        <v>2676.2152530549997</v>
      </c>
      <c r="G126" s="39"/>
      <c r="H126" s="62">
        <f>H71</f>
        <v>2762.9281776840003</v>
      </c>
      <c r="I126" s="39"/>
      <c r="J126" s="52">
        <f>J71</f>
        <v>2977.2190146290004</v>
      </c>
      <c r="K126" s="39"/>
      <c r="L126" s="52">
        <f>L71</f>
        <v>3137.148546115</v>
      </c>
      <c r="M126" s="39"/>
      <c r="N126" s="52">
        <f>N71</f>
        <v>3281.7800156969997</v>
      </c>
      <c r="O126" s="42"/>
      <c r="P126" s="39"/>
      <c r="Q126" s="52">
        <f>Q71</f>
        <v>2205.1088500000001</v>
      </c>
      <c r="R126" s="42"/>
      <c r="S126" s="39"/>
      <c r="T126" s="52">
        <f>T71</f>
        <v>2205.1088500000001</v>
      </c>
      <c r="U126" s="42"/>
      <c r="V126" s="39"/>
      <c r="W126" s="52">
        <f>W71</f>
        <v>6386.9357199999995</v>
      </c>
    </row>
    <row r="127" spans="1:23" x14ac:dyDescent="0.2">
      <c r="A127" s="42"/>
      <c r="B127" s="71" t="s">
        <v>4</v>
      </c>
      <c r="C127" s="71" t="s">
        <v>54</v>
      </c>
      <c r="D127" s="379" t="s">
        <v>45</v>
      </c>
      <c r="E127" s="379"/>
      <c r="F127" s="62">
        <f>F81</f>
        <v>90.19069255416666</v>
      </c>
      <c r="G127" s="39"/>
      <c r="H127" s="62">
        <f>H81</f>
        <v>89.617495858777787</v>
      </c>
      <c r="I127" s="39"/>
      <c r="J127" s="52">
        <f>J81</f>
        <v>97.234781547805554</v>
      </c>
      <c r="K127" s="39"/>
      <c r="L127" s="52">
        <f>L81</f>
        <v>102.92263975374999</v>
      </c>
      <c r="M127" s="39"/>
      <c r="N127" s="52">
        <f>N81</f>
        <v>108.0683901903611</v>
      </c>
      <c r="O127" s="42"/>
      <c r="P127" s="39"/>
      <c r="Q127" s="52">
        <f>Q81</f>
        <v>0</v>
      </c>
      <c r="R127" s="42"/>
      <c r="S127" s="39"/>
      <c r="T127" s="52">
        <f>T81</f>
        <v>102.92263975374999</v>
      </c>
      <c r="U127" s="42"/>
      <c r="V127" s="39"/>
      <c r="W127" s="52">
        <f>W81</f>
        <v>0</v>
      </c>
    </row>
    <row r="128" spans="1:23" x14ac:dyDescent="0.2">
      <c r="A128" s="42"/>
      <c r="B128" s="71" t="s">
        <v>5</v>
      </c>
      <c r="C128" s="71" t="s">
        <v>55</v>
      </c>
      <c r="D128" s="379" t="s">
        <v>47</v>
      </c>
      <c r="E128" s="379"/>
      <c r="F128" s="62">
        <f>F103</f>
        <v>29.492655999999997</v>
      </c>
      <c r="G128" s="39"/>
      <c r="H128" s="62">
        <f>H103</f>
        <v>30.377399466666667</v>
      </c>
      <c r="I128" s="39"/>
      <c r="J128" s="52">
        <f>J103</f>
        <v>32.959410133333328</v>
      </c>
      <c r="K128" s="39"/>
      <c r="L128" s="52">
        <f>L103</f>
        <v>34.887408000000001</v>
      </c>
      <c r="M128" s="39"/>
      <c r="N128" s="52">
        <f>N103</f>
        <v>36.631649066666668</v>
      </c>
      <c r="O128" s="42"/>
      <c r="P128" s="39"/>
      <c r="Q128" s="52">
        <f>Q103</f>
        <v>0</v>
      </c>
      <c r="R128" s="42"/>
      <c r="S128" s="39"/>
      <c r="T128" s="52">
        <f>T103</f>
        <v>189.32938299179168</v>
      </c>
      <c r="U128" s="42"/>
      <c r="V128" s="39"/>
      <c r="W128" s="52">
        <f>W103</f>
        <v>32.925998999999997</v>
      </c>
    </row>
    <row r="129" spans="1:23" x14ac:dyDescent="0.2">
      <c r="A129" s="42"/>
      <c r="B129" s="71" t="s">
        <v>6</v>
      </c>
      <c r="C129" s="71" t="s">
        <v>56</v>
      </c>
      <c r="D129" s="379" t="s">
        <v>15</v>
      </c>
      <c r="E129" s="379"/>
      <c r="F129" s="62">
        <f>F111</f>
        <v>52.418974358974367</v>
      </c>
      <c r="G129" s="39"/>
      <c r="H129" s="62">
        <f>H111</f>
        <v>52.418974358974367</v>
      </c>
      <c r="I129" s="39"/>
      <c r="J129" s="52">
        <f>J111</f>
        <v>52.418974358974367</v>
      </c>
      <c r="K129" s="39"/>
      <c r="L129" s="52">
        <f>L111</f>
        <v>52.418974358974367</v>
      </c>
      <c r="M129" s="39"/>
      <c r="N129" s="52">
        <f>N111</f>
        <v>52.418974358974367</v>
      </c>
      <c r="O129" s="42"/>
      <c r="P129" s="39"/>
      <c r="Q129" s="52">
        <f>Q111</f>
        <v>52.418974358974367</v>
      </c>
      <c r="R129" s="42"/>
      <c r="S129" s="39"/>
      <c r="T129" s="52">
        <f>T111</f>
        <v>0</v>
      </c>
      <c r="U129" s="42"/>
      <c r="V129" s="39"/>
      <c r="W129" s="52">
        <f>W111</f>
        <v>0</v>
      </c>
    </row>
    <row r="130" spans="1:23" x14ac:dyDescent="0.2">
      <c r="A130" s="42"/>
      <c r="B130" s="71"/>
      <c r="C130" s="459" t="s">
        <v>123</v>
      </c>
      <c r="D130" s="459"/>
      <c r="E130" s="459"/>
      <c r="F130" s="62">
        <f>SUM(F125:F129)</f>
        <v>5698.7675759681415</v>
      </c>
      <c r="G130" s="39"/>
      <c r="H130" s="62">
        <f>SUM(H125:H129)</f>
        <v>5871.3020473684192</v>
      </c>
      <c r="I130" s="39"/>
      <c r="J130" s="52">
        <f>SUM(J125:J129)</f>
        <v>6345.3421806691131</v>
      </c>
      <c r="K130" s="39"/>
      <c r="L130" s="52">
        <f>SUM(L125:L129)</f>
        <v>6699.2275682277241</v>
      </c>
      <c r="M130" s="39"/>
      <c r="N130" s="52">
        <f>SUM(N125:N129)</f>
        <v>7019.3290293130012</v>
      </c>
      <c r="O130" s="42"/>
      <c r="P130" s="39"/>
      <c r="Q130" s="52">
        <f>SUM(Q125:Q129)</f>
        <v>5629.3778243589741</v>
      </c>
      <c r="R130" s="42"/>
      <c r="S130" s="39"/>
      <c r="T130" s="52">
        <v>0</v>
      </c>
      <c r="U130" s="42"/>
      <c r="V130" s="39"/>
      <c r="W130" s="52">
        <f>SUM(W125:W129)</f>
        <v>6419.8617189999995</v>
      </c>
    </row>
    <row r="131" spans="1:23" ht="13.5" thickBot="1" x14ac:dyDescent="0.25">
      <c r="A131" s="42"/>
      <c r="B131" s="80" t="s">
        <v>6</v>
      </c>
      <c r="C131" s="99" t="s">
        <v>128</v>
      </c>
      <c r="D131" s="383" t="s">
        <v>59</v>
      </c>
      <c r="E131" s="451"/>
      <c r="F131" s="63">
        <f>$F$121</f>
        <v>617.21</v>
      </c>
      <c r="G131" s="64"/>
      <c r="H131" s="48">
        <f>H121</f>
        <v>635.89</v>
      </c>
      <c r="I131" s="64"/>
      <c r="J131" s="48">
        <f>J121</f>
        <v>687.24</v>
      </c>
      <c r="K131" s="64"/>
      <c r="L131" s="48">
        <f>L121</f>
        <v>725.56</v>
      </c>
      <c r="M131" s="64"/>
      <c r="N131" s="54">
        <f>N121</f>
        <v>760.23</v>
      </c>
      <c r="O131" s="42"/>
      <c r="P131" s="64"/>
      <c r="Q131" s="48">
        <f>Q121</f>
        <v>609.69000000000005</v>
      </c>
      <c r="R131" s="42"/>
      <c r="S131" s="64"/>
      <c r="T131" s="48">
        <f>T121</f>
        <v>0</v>
      </c>
      <c r="U131" s="42"/>
      <c r="V131" s="64"/>
      <c r="W131" s="48">
        <f>W121</f>
        <v>728.53</v>
      </c>
    </row>
    <row r="132" spans="1:23" ht="15.75" thickBot="1" x14ac:dyDescent="0.25">
      <c r="A132" s="42"/>
      <c r="B132" s="41"/>
      <c r="C132" s="449" t="s">
        <v>51</v>
      </c>
      <c r="D132" s="449"/>
      <c r="E132" s="449"/>
      <c r="F132" s="5">
        <f>ROUNDDOWN((F130+F115+F116)/(1-E117),2)</f>
        <v>6315.97</v>
      </c>
      <c r="G132" s="41"/>
      <c r="H132" s="13">
        <f>ROUND((H130+H115+H116)/(1-G117),2)</f>
        <v>6507.2</v>
      </c>
      <c r="I132" s="41"/>
      <c r="J132" s="5">
        <f>ROUND((J130+J115+J116)/(1-I117),2)</f>
        <v>7032.58</v>
      </c>
      <c r="K132" s="41"/>
      <c r="L132" s="5">
        <f>ROUND((L130+L115+L116)/(1-K117),2)</f>
        <v>7424.79</v>
      </c>
      <c r="M132" s="41"/>
      <c r="N132" s="5">
        <f>ROUND((N130+N115+N116)/(1-M117),2)</f>
        <v>7779.56</v>
      </c>
      <c r="O132" s="42"/>
      <c r="P132" s="41"/>
      <c r="Q132" s="5">
        <f>ROUND((Q130+Q115+Q116)/(1-P117),2)</f>
        <v>6239.07</v>
      </c>
      <c r="R132" s="42"/>
      <c r="S132" s="41"/>
      <c r="T132" s="5"/>
      <c r="U132" s="42"/>
      <c r="V132" s="41"/>
      <c r="W132" s="5">
        <f>ROUND((W130+W115+W116)/(1-V117),2)</f>
        <v>7115.17</v>
      </c>
    </row>
    <row r="133" spans="1:23" x14ac:dyDescent="0.2">
      <c r="A133" s="42"/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  <c r="O133" s="42"/>
      <c r="P133" s="42"/>
      <c r="Q133" s="42"/>
      <c r="R133" s="42"/>
      <c r="S133" s="42"/>
      <c r="T133" s="42"/>
      <c r="U133" s="42"/>
      <c r="V133" s="42"/>
      <c r="W133" s="42"/>
    </row>
    <row r="134" spans="1:23" x14ac:dyDescent="0.2">
      <c r="A134" s="42"/>
      <c r="B134" s="42"/>
      <c r="C134" s="42"/>
      <c r="D134" s="42"/>
      <c r="E134" s="42"/>
      <c r="F134" s="29"/>
      <c r="G134" s="42"/>
      <c r="H134" s="83"/>
      <c r="I134" s="42"/>
      <c r="J134" s="83">
        <v>7032.58</v>
      </c>
      <c r="K134" s="42"/>
      <c r="L134" s="83"/>
      <c r="M134" s="42"/>
      <c r="N134" s="83"/>
      <c r="O134" s="42"/>
      <c r="P134" s="42"/>
      <c r="Q134" s="83">
        <v>5912.38</v>
      </c>
      <c r="R134" s="42"/>
      <c r="S134" s="42"/>
      <c r="T134" s="68">
        <v>179.31</v>
      </c>
      <c r="U134" s="42"/>
      <c r="V134" s="42"/>
      <c r="W134" s="83">
        <v>6401.88</v>
      </c>
    </row>
    <row r="135" spans="1:23" x14ac:dyDescent="0.2">
      <c r="A135" s="42"/>
      <c r="B135" s="42"/>
      <c r="C135" s="42"/>
      <c r="D135" s="42"/>
      <c r="E135" s="42"/>
      <c r="G135" s="42"/>
      <c r="H135" s="42"/>
      <c r="I135" s="42"/>
      <c r="J135" s="83"/>
      <c r="K135" s="42"/>
      <c r="L135" s="83"/>
      <c r="M135" s="42"/>
      <c r="N135" s="83"/>
      <c r="O135" s="42"/>
      <c r="P135" s="42"/>
      <c r="Q135" s="83"/>
      <c r="R135" s="42"/>
      <c r="S135" s="42"/>
      <c r="U135" s="42"/>
      <c r="V135" s="42"/>
      <c r="W135" s="83"/>
    </row>
    <row r="136" spans="1:23" x14ac:dyDescent="0.2">
      <c r="A136" s="42"/>
      <c r="B136" s="42"/>
      <c r="C136" s="42"/>
      <c r="D136" s="42"/>
      <c r="E136" s="42"/>
      <c r="F136" s="42"/>
      <c r="G136" s="42"/>
      <c r="H136" s="83"/>
      <c r="I136" s="42"/>
      <c r="J136" s="42"/>
      <c r="K136" s="42"/>
      <c r="L136" s="42"/>
      <c r="M136" s="42"/>
      <c r="N136" s="42"/>
      <c r="O136" s="42"/>
      <c r="P136" s="42"/>
      <c r="Q136" s="42"/>
      <c r="R136" s="42"/>
      <c r="S136" s="42"/>
      <c r="U136" s="42"/>
      <c r="V136" s="42"/>
      <c r="W136" s="42"/>
    </row>
    <row r="137" spans="1:23" x14ac:dyDescent="0.2">
      <c r="A137" s="42"/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  <c r="O137" s="42"/>
      <c r="P137" s="42"/>
      <c r="Q137" s="42"/>
      <c r="R137" s="42"/>
      <c r="S137" s="42"/>
      <c r="U137" s="42"/>
      <c r="V137" s="42"/>
      <c r="W137" s="42"/>
    </row>
    <row r="138" spans="1:23" x14ac:dyDescent="0.2">
      <c r="A138" s="42"/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  <c r="O138" s="42"/>
      <c r="P138" s="42"/>
      <c r="Q138" s="42"/>
      <c r="R138" s="42"/>
      <c r="S138" s="42"/>
      <c r="U138" s="42"/>
      <c r="V138" s="42"/>
      <c r="W138" s="42"/>
    </row>
    <row r="139" spans="1:23" x14ac:dyDescent="0.2">
      <c r="A139" s="42"/>
      <c r="B139" s="42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  <c r="O139" s="42"/>
      <c r="P139" s="42"/>
      <c r="Q139" s="42"/>
      <c r="R139" s="42"/>
      <c r="S139" s="42"/>
      <c r="T139" s="42"/>
      <c r="U139" s="42"/>
      <c r="V139" s="42"/>
      <c r="W139" s="42"/>
    </row>
    <row r="140" spans="1:23" x14ac:dyDescent="0.2">
      <c r="A140" s="42"/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  <c r="O140" s="42"/>
      <c r="P140" s="42"/>
      <c r="Q140" s="42"/>
      <c r="R140" s="42"/>
      <c r="S140" s="42"/>
      <c r="T140" s="83">
        <v>165.9</v>
      </c>
      <c r="U140" s="42"/>
      <c r="V140" s="42"/>
      <c r="W140" s="42"/>
    </row>
    <row r="141" spans="1:23" x14ac:dyDescent="0.2">
      <c r="A141" s="42"/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2"/>
      <c r="O141" s="42"/>
      <c r="P141" s="42"/>
      <c r="Q141" s="42"/>
      <c r="R141" s="42"/>
      <c r="S141" s="42"/>
      <c r="T141" s="83">
        <f>T140*7</f>
        <v>1161.3</v>
      </c>
      <c r="U141" s="42"/>
      <c r="V141" s="42"/>
      <c r="W141" s="42"/>
    </row>
    <row r="142" spans="1:23" x14ac:dyDescent="0.2">
      <c r="A142" s="42"/>
      <c r="B142" s="42"/>
      <c r="C142" s="42"/>
      <c r="D142" s="42"/>
      <c r="E142" s="42"/>
      <c r="F142" s="42" t="s">
        <v>60</v>
      </c>
      <c r="G142" s="42"/>
      <c r="H142" s="42"/>
      <c r="I142" s="42"/>
      <c r="J142" s="42"/>
      <c r="K142" s="42"/>
      <c r="L142" s="42"/>
      <c r="M142" s="42"/>
      <c r="N142" s="42"/>
      <c r="O142" s="42"/>
      <c r="P142" s="42"/>
      <c r="Q142" s="42"/>
      <c r="R142" s="42"/>
      <c r="S142" s="42"/>
      <c r="T142" s="83"/>
      <c r="U142" s="42"/>
      <c r="V142" s="42"/>
      <c r="W142" s="42"/>
    </row>
    <row r="143" spans="1:23" x14ac:dyDescent="0.2">
      <c r="A143" s="42"/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  <c r="O143" s="42"/>
      <c r="P143" s="42"/>
      <c r="Q143" s="42"/>
      <c r="R143" s="42"/>
      <c r="S143" s="42"/>
      <c r="T143" s="96">
        <f>T128</f>
        <v>189.32938299179168</v>
      </c>
      <c r="U143" s="42"/>
      <c r="V143" s="42"/>
      <c r="W143" s="42"/>
    </row>
    <row r="144" spans="1:23" x14ac:dyDescent="0.2">
      <c r="A144" s="42"/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  <c r="O144" s="42"/>
      <c r="P144" s="42"/>
      <c r="Q144" s="42"/>
      <c r="R144" s="42"/>
      <c r="S144" s="42"/>
      <c r="T144" s="83">
        <f>T143*7</f>
        <v>1325.3056809425418</v>
      </c>
      <c r="U144" s="42"/>
      <c r="V144" s="42"/>
      <c r="W144" s="42"/>
    </row>
    <row r="145" spans="1:23" x14ac:dyDescent="0.2">
      <c r="A145" s="42"/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  <c r="O145" s="42"/>
      <c r="P145" s="42"/>
      <c r="Q145" s="42"/>
      <c r="R145" s="42"/>
      <c r="S145" s="42"/>
      <c r="T145" s="42"/>
      <c r="U145" s="42"/>
      <c r="V145" s="42"/>
      <c r="W145" s="42"/>
    </row>
    <row r="146" spans="1:23" x14ac:dyDescent="0.2">
      <c r="A146" s="42"/>
      <c r="B146" s="42"/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2"/>
      <c r="O146" s="42"/>
      <c r="P146" s="42"/>
      <c r="Q146" s="42"/>
      <c r="R146" s="42"/>
      <c r="S146" s="42"/>
      <c r="T146" s="42"/>
      <c r="U146" s="42"/>
      <c r="V146" s="42"/>
      <c r="W146" s="42"/>
    </row>
    <row r="147" spans="1:23" x14ac:dyDescent="0.2">
      <c r="A147" s="42"/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2"/>
      <c r="O147" s="42"/>
      <c r="P147" s="42"/>
      <c r="Q147" s="42"/>
      <c r="R147" s="42"/>
      <c r="S147" s="42"/>
      <c r="T147" s="42"/>
      <c r="U147" s="42"/>
      <c r="V147" s="42"/>
      <c r="W147" s="42"/>
    </row>
    <row r="148" spans="1:23" x14ac:dyDescent="0.2">
      <c r="A148" s="42"/>
      <c r="B148" s="42"/>
      <c r="C148" s="42"/>
      <c r="D148" s="42"/>
      <c r="E148" s="42"/>
      <c r="F148" s="42"/>
      <c r="G148" s="42"/>
      <c r="H148" s="42"/>
      <c r="I148" s="42"/>
      <c r="J148" s="42"/>
      <c r="K148" s="42"/>
      <c r="L148" s="42"/>
      <c r="M148" s="42"/>
      <c r="N148" s="42"/>
      <c r="O148" s="42"/>
      <c r="P148" s="42"/>
      <c r="Q148" s="42"/>
      <c r="R148" s="42"/>
      <c r="S148" s="42"/>
      <c r="T148" s="42"/>
      <c r="U148" s="42"/>
      <c r="V148" s="42"/>
      <c r="W148" s="42"/>
    </row>
    <row r="149" spans="1:23" x14ac:dyDescent="0.2">
      <c r="A149" s="42"/>
      <c r="B149" s="42"/>
      <c r="C149" s="42"/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  <c r="O149" s="42"/>
      <c r="P149" s="42"/>
      <c r="Q149" s="42"/>
      <c r="R149" s="42"/>
      <c r="S149" s="42"/>
      <c r="T149" s="42"/>
      <c r="U149" s="42"/>
      <c r="V149" s="42"/>
      <c r="W149" s="42"/>
    </row>
    <row r="150" spans="1:23" x14ac:dyDescent="0.2">
      <c r="A150" s="42"/>
      <c r="B150" s="42"/>
      <c r="C150" s="42"/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2"/>
      <c r="O150" s="42"/>
      <c r="P150" s="42"/>
      <c r="Q150" s="42"/>
      <c r="R150" s="42"/>
      <c r="S150" s="42"/>
      <c r="T150" s="42"/>
      <c r="U150" s="42"/>
      <c r="V150" s="42"/>
      <c r="W150" s="42"/>
    </row>
    <row r="151" spans="1:23" x14ac:dyDescent="0.2">
      <c r="A151" s="42"/>
      <c r="B151" s="42"/>
      <c r="C151" s="42"/>
      <c r="D151" s="42"/>
      <c r="E151" s="42"/>
      <c r="F151" s="42"/>
      <c r="G151" s="42"/>
      <c r="H151" s="42"/>
      <c r="I151" s="42"/>
      <c r="J151" s="42"/>
      <c r="K151" s="42"/>
      <c r="L151" s="42"/>
      <c r="M151" s="42"/>
      <c r="N151" s="42"/>
      <c r="O151" s="42"/>
      <c r="P151" s="42"/>
      <c r="Q151" s="42"/>
      <c r="R151" s="42"/>
      <c r="S151" s="42"/>
      <c r="T151" s="42"/>
      <c r="U151" s="42"/>
      <c r="V151" s="42"/>
      <c r="W151" s="42"/>
    </row>
    <row r="152" spans="1:23" x14ac:dyDescent="0.2">
      <c r="A152" s="42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42"/>
      <c r="Q152" s="42"/>
      <c r="R152" s="42"/>
      <c r="S152" s="42"/>
      <c r="T152" s="42"/>
      <c r="U152" s="42"/>
      <c r="V152" s="42"/>
      <c r="W152" s="42"/>
    </row>
    <row r="153" spans="1:23" x14ac:dyDescent="0.2">
      <c r="A153" s="42"/>
      <c r="B153" s="42"/>
      <c r="C153" s="42"/>
      <c r="D153" s="42"/>
      <c r="E153" s="42"/>
      <c r="F153" s="42"/>
      <c r="G153" s="42"/>
      <c r="H153" s="42"/>
      <c r="I153" s="42"/>
      <c r="J153" s="42"/>
      <c r="K153" s="42"/>
      <c r="L153" s="42"/>
      <c r="M153" s="42"/>
      <c r="N153" s="42"/>
      <c r="O153" s="42"/>
      <c r="P153" s="42"/>
      <c r="Q153" s="42"/>
      <c r="R153" s="42"/>
      <c r="S153" s="42"/>
      <c r="T153" s="42"/>
      <c r="U153" s="42"/>
      <c r="V153" s="42"/>
      <c r="W153" s="42"/>
    </row>
    <row r="154" spans="1:23" x14ac:dyDescent="0.2">
      <c r="A154" s="42"/>
      <c r="B154" s="42"/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2"/>
      <c r="O154" s="42"/>
      <c r="P154" s="42"/>
      <c r="Q154" s="42"/>
      <c r="R154" s="42"/>
      <c r="S154" s="42"/>
      <c r="T154" s="42"/>
      <c r="U154" s="42"/>
      <c r="V154" s="42"/>
      <c r="W154" s="42"/>
    </row>
    <row r="155" spans="1:23" x14ac:dyDescent="0.2">
      <c r="A155" s="42"/>
      <c r="B155" s="42"/>
      <c r="C155" s="42"/>
      <c r="D155" s="42"/>
      <c r="E155" s="42"/>
      <c r="F155" s="42"/>
      <c r="G155" s="42"/>
      <c r="H155" s="42"/>
      <c r="I155" s="42"/>
      <c r="J155" s="42"/>
      <c r="K155" s="42"/>
      <c r="L155" s="42"/>
      <c r="M155" s="42"/>
      <c r="N155" s="42"/>
      <c r="O155" s="42"/>
      <c r="P155" s="42"/>
      <c r="Q155" s="42"/>
      <c r="R155" s="42"/>
      <c r="S155" s="42"/>
      <c r="T155" s="42"/>
      <c r="U155" s="42"/>
      <c r="V155" s="42"/>
      <c r="W155" s="42"/>
    </row>
    <row r="156" spans="1:23" x14ac:dyDescent="0.2">
      <c r="A156" s="42"/>
      <c r="B156" s="42"/>
      <c r="C156" s="42"/>
      <c r="D156" s="42"/>
      <c r="E156" s="42"/>
      <c r="F156" s="42"/>
      <c r="G156" s="42"/>
      <c r="H156" s="42"/>
      <c r="I156" s="42"/>
      <c r="J156" s="42"/>
      <c r="K156" s="42"/>
      <c r="L156" s="42"/>
      <c r="M156" s="42"/>
      <c r="N156" s="42"/>
      <c r="O156" s="42"/>
      <c r="P156" s="42"/>
      <c r="Q156" s="42"/>
      <c r="R156" s="42"/>
      <c r="S156" s="42"/>
      <c r="T156" s="42"/>
      <c r="U156" s="42"/>
      <c r="V156" s="42"/>
      <c r="W156" s="42"/>
    </row>
    <row r="157" spans="1:23" x14ac:dyDescent="0.2">
      <c r="A157" s="42"/>
      <c r="B157" s="42"/>
      <c r="C157" s="42"/>
      <c r="D157" s="42"/>
      <c r="E157" s="42"/>
      <c r="F157" s="42"/>
      <c r="G157" s="42"/>
      <c r="H157" s="42"/>
      <c r="I157" s="42"/>
      <c r="J157" s="42"/>
      <c r="K157" s="42"/>
      <c r="L157" s="42"/>
      <c r="M157" s="42"/>
      <c r="N157" s="42"/>
      <c r="O157" s="42"/>
      <c r="P157" s="42"/>
      <c r="Q157" s="42"/>
      <c r="R157" s="42"/>
      <c r="S157" s="42"/>
      <c r="T157" s="42"/>
      <c r="U157" s="42"/>
      <c r="V157" s="42"/>
      <c r="W157" s="42"/>
    </row>
    <row r="158" spans="1:23" x14ac:dyDescent="0.2">
      <c r="A158" s="42"/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2"/>
      <c r="O158" s="42"/>
      <c r="P158" s="42"/>
      <c r="Q158" s="42"/>
      <c r="R158" s="42"/>
      <c r="S158" s="42"/>
      <c r="T158" s="42"/>
      <c r="U158" s="42"/>
      <c r="V158" s="42"/>
      <c r="W158" s="42"/>
    </row>
    <row r="159" spans="1:23" x14ac:dyDescent="0.2">
      <c r="A159" s="42"/>
      <c r="B159" s="42"/>
      <c r="C159" s="42"/>
      <c r="D159" s="42"/>
      <c r="E159" s="42"/>
      <c r="F159" s="42"/>
      <c r="G159" s="42"/>
      <c r="H159" s="42"/>
      <c r="I159" s="42"/>
      <c r="J159" s="42"/>
      <c r="K159" s="42"/>
      <c r="L159" s="42"/>
      <c r="M159" s="42"/>
      <c r="N159" s="42"/>
      <c r="O159" s="42"/>
      <c r="P159" s="42"/>
      <c r="Q159" s="42"/>
      <c r="R159" s="42"/>
      <c r="S159" s="42"/>
      <c r="T159" s="42"/>
      <c r="U159" s="42"/>
      <c r="V159" s="42"/>
      <c r="W159" s="42"/>
    </row>
    <row r="160" spans="1:23" x14ac:dyDescent="0.2">
      <c r="A160" s="42"/>
      <c r="B160" s="42"/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  <c r="O160" s="42"/>
      <c r="P160" s="42"/>
      <c r="Q160" s="42"/>
      <c r="R160" s="42"/>
      <c r="S160" s="42"/>
      <c r="T160" s="42"/>
      <c r="U160" s="42"/>
      <c r="V160" s="42"/>
      <c r="W160" s="42"/>
    </row>
    <row r="161" spans="1:23" x14ac:dyDescent="0.2">
      <c r="A161" s="42"/>
      <c r="B161" s="42"/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42"/>
      <c r="N161" s="42"/>
      <c r="O161" s="42"/>
      <c r="P161" s="42"/>
      <c r="Q161" s="42"/>
      <c r="R161" s="42"/>
      <c r="S161" s="42"/>
      <c r="T161" s="42"/>
      <c r="U161" s="42"/>
      <c r="V161" s="42"/>
      <c r="W161" s="42"/>
    </row>
    <row r="162" spans="1:23" x14ac:dyDescent="0.2">
      <c r="A162" s="42"/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  <c r="O162" s="42"/>
      <c r="P162" s="42"/>
      <c r="Q162" s="42"/>
      <c r="R162" s="42"/>
      <c r="S162" s="42"/>
      <c r="T162" s="42"/>
      <c r="U162" s="42"/>
      <c r="V162" s="42"/>
      <c r="W162" s="42"/>
    </row>
    <row r="163" spans="1:23" x14ac:dyDescent="0.2">
      <c r="A163" s="42"/>
      <c r="B163" s="42"/>
      <c r="C163" s="42"/>
      <c r="D163" s="42"/>
      <c r="E163" s="42"/>
      <c r="F163" s="42"/>
      <c r="G163" s="42"/>
      <c r="H163" s="42"/>
      <c r="I163" s="42"/>
      <c r="J163" s="42"/>
      <c r="K163" s="42"/>
      <c r="L163" s="42"/>
      <c r="M163" s="42"/>
      <c r="N163" s="42"/>
      <c r="O163" s="42"/>
      <c r="P163" s="42"/>
      <c r="Q163" s="42"/>
      <c r="R163" s="42"/>
      <c r="S163" s="42"/>
      <c r="T163" s="42"/>
      <c r="U163" s="42"/>
      <c r="V163" s="42"/>
      <c r="W163" s="42"/>
    </row>
    <row r="164" spans="1:23" x14ac:dyDescent="0.2">
      <c r="A164" s="42"/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  <c r="O164" s="42"/>
      <c r="P164" s="42"/>
      <c r="Q164" s="42"/>
      <c r="R164" s="42"/>
      <c r="S164" s="42"/>
      <c r="T164" s="42"/>
      <c r="U164" s="42"/>
      <c r="V164" s="42"/>
      <c r="W164" s="42"/>
    </row>
    <row r="165" spans="1:23" x14ac:dyDescent="0.2">
      <c r="A165" s="42"/>
      <c r="B165" s="42"/>
      <c r="C165" s="42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2"/>
      <c r="O165" s="42"/>
      <c r="P165" s="42"/>
      <c r="Q165" s="42"/>
      <c r="R165" s="42"/>
      <c r="S165" s="42"/>
      <c r="T165" s="42"/>
      <c r="U165" s="42"/>
      <c r="V165" s="42"/>
      <c r="W165" s="42"/>
    </row>
    <row r="166" spans="1:23" x14ac:dyDescent="0.2">
      <c r="A166" s="42"/>
      <c r="B166" s="42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  <c r="O166" s="42"/>
      <c r="P166" s="42"/>
      <c r="Q166" s="42"/>
      <c r="R166" s="42"/>
      <c r="S166" s="42"/>
      <c r="T166" s="42"/>
      <c r="U166" s="42"/>
      <c r="V166" s="42"/>
      <c r="W166" s="42"/>
    </row>
    <row r="167" spans="1:23" x14ac:dyDescent="0.2">
      <c r="A167" s="42"/>
      <c r="B167" s="42"/>
      <c r="C167" s="42"/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2"/>
      <c r="O167" s="42"/>
      <c r="P167" s="42"/>
      <c r="Q167" s="42"/>
      <c r="R167" s="42"/>
      <c r="S167" s="42"/>
      <c r="T167" s="42"/>
      <c r="U167" s="42"/>
      <c r="V167" s="42"/>
      <c r="W167" s="42"/>
    </row>
    <row r="168" spans="1:23" x14ac:dyDescent="0.2">
      <c r="A168" s="42"/>
      <c r="B168" s="42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42"/>
      <c r="Q168" s="42"/>
      <c r="R168" s="42"/>
      <c r="S168" s="42"/>
      <c r="T168" s="42"/>
      <c r="U168" s="42"/>
      <c r="V168" s="42"/>
      <c r="W168" s="42"/>
    </row>
    <row r="169" spans="1:23" x14ac:dyDescent="0.2">
      <c r="A169" s="42"/>
      <c r="B169" s="42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  <c r="O169" s="42"/>
      <c r="P169" s="42"/>
      <c r="Q169" s="42"/>
      <c r="R169" s="42"/>
      <c r="S169" s="42"/>
      <c r="T169" s="42"/>
      <c r="U169" s="42"/>
      <c r="V169" s="42"/>
      <c r="W169" s="42"/>
    </row>
    <row r="170" spans="1:23" x14ac:dyDescent="0.2">
      <c r="A170" s="42"/>
      <c r="B170" s="42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42"/>
      <c r="Q170" s="42"/>
      <c r="R170" s="42"/>
      <c r="S170" s="42"/>
      <c r="T170" s="42"/>
      <c r="U170" s="42"/>
      <c r="V170" s="42"/>
      <c r="W170" s="42"/>
    </row>
    <row r="171" spans="1:23" x14ac:dyDescent="0.2">
      <c r="A171" s="42"/>
      <c r="B171" s="42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  <c r="P171" s="42"/>
      <c r="Q171" s="42"/>
      <c r="R171" s="42"/>
      <c r="S171" s="42"/>
      <c r="T171" s="42"/>
      <c r="U171" s="42"/>
      <c r="V171" s="42"/>
      <c r="W171" s="42"/>
    </row>
    <row r="172" spans="1:23" x14ac:dyDescent="0.2">
      <c r="A172" s="42"/>
      <c r="B172" s="42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42"/>
      <c r="Q172" s="42"/>
      <c r="R172" s="42"/>
      <c r="S172" s="42"/>
      <c r="T172" s="42"/>
      <c r="U172" s="42"/>
      <c r="V172" s="42"/>
      <c r="W172" s="42"/>
    </row>
    <row r="173" spans="1:23" x14ac:dyDescent="0.2">
      <c r="A173" s="42"/>
      <c r="B173" s="42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42"/>
      <c r="Q173" s="42"/>
      <c r="R173" s="42"/>
      <c r="S173" s="42"/>
      <c r="T173" s="42"/>
      <c r="U173" s="42"/>
      <c r="V173" s="42"/>
      <c r="W173" s="42"/>
    </row>
    <row r="174" spans="1:23" x14ac:dyDescent="0.2">
      <c r="A174" s="42"/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42"/>
      <c r="Q174" s="42"/>
      <c r="R174" s="42"/>
      <c r="S174" s="42"/>
      <c r="T174" s="42"/>
      <c r="U174" s="42"/>
      <c r="V174" s="42"/>
      <c r="W174" s="42"/>
    </row>
    <row r="175" spans="1:23" x14ac:dyDescent="0.2">
      <c r="A175" s="42"/>
      <c r="B175" s="42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  <c r="O175" s="42"/>
      <c r="P175" s="42"/>
      <c r="Q175" s="42"/>
      <c r="R175" s="42"/>
      <c r="S175" s="42"/>
      <c r="T175" s="42"/>
      <c r="U175" s="42"/>
      <c r="V175" s="42"/>
      <c r="W175" s="42"/>
    </row>
    <row r="176" spans="1:23" x14ac:dyDescent="0.2">
      <c r="A176" s="42"/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42"/>
      <c r="Q176" s="42"/>
      <c r="R176" s="42"/>
      <c r="S176" s="42"/>
      <c r="T176" s="42"/>
      <c r="U176" s="42"/>
      <c r="V176" s="42"/>
      <c r="W176" s="42"/>
    </row>
    <row r="177" spans="1:23" x14ac:dyDescent="0.2">
      <c r="A177" s="42"/>
      <c r="B177" s="42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42"/>
      <c r="Q177" s="42"/>
      <c r="R177" s="42"/>
      <c r="S177" s="42"/>
      <c r="T177" s="42"/>
      <c r="U177" s="42"/>
      <c r="V177" s="42"/>
      <c r="W177" s="42"/>
    </row>
    <row r="178" spans="1:23" x14ac:dyDescent="0.2">
      <c r="A178" s="42"/>
      <c r="B178" s="42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42"/>
      <c r="Q178" s="42"/>
      <c r="R178" s="42"/>
      <c r="S178" s="42"/>
      <c r="T178" s="42"/>
      <c r="U178" s="42"/>
      <c r="V178" s="42"/>
      <c r="W178" s="42"/>
    </row>
    <row r="179" spans="1:23" x14ac:dyDescent="0.2">
      <c r="A179" s="42"/>
      <c r="B179" s="42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  <c r="O179" s="42"/>
      <c r="P179" s="42"/>
      <c r="Q179" s="42"/>
      <c r="R179" s="42"/>
      <c r="S179" s="42"/>
      <c r="T179" s="42"/>
      <c r="U179" s="42"/>
      <c r="V179" s="42"/>
      <c r="W179" s="42"/>
    </row>
    <row r="180" spans="1:23" x14ac:dyDescent="0.2">
      <c r="A180" s="42"/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42"/>
      <c r="Q180" s="42"/>
      <c r="R180" s="42"/>
      <c r="S180" s="42"/>
      <c r="T180" s="42"/>
      <c r="U180" s="42"/>
      <c r="V180" s="42"/>
      <c r="W180" s="42"/>
    </row>
    <row r="181" spans="1:23" x14ac:dyDescent="0.2">
      <c r="A181" s="42"/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42"/>
      <c r="V181" s="42"/>
      <c r="W181" s="42"/>
    </row>
    <row r="182" spans="1:23" x14ac:dyDescent="0.2">
      <c r="A182" s="42"/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42"/>
      <c r="Q182" s="42"/>
      <c r="R182" s="42"/>
      <c r="S182" s="42"/>
      <c r="T182" s="42"/>
      <c r="U182" s="42"/>
      <c r="V182" s="42"/>
      <c r="W182" s="42"/>
    </row>
    <row r="183" spans="1:23" x14ac:dyDescent="0.2">
      <c r="A183" s="42"/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42"/>
      <c r="Q183" s="42"/>
      <c r="R183" s="42"/>
      <c r="S183" s="42"/>
      <c r="T183" s="42"/>
      <c r="U183" s="42"/>
      <c r="V183" s="42"/>
      <c r="W183" s="42"/>
    </row>
    <row r="184" spans="1:23" x14ac:dyDescent="0.2">
      <c r="A184" s="42"/>
      <c r="B184" s="42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42"/>
      <c r="Q184" s="42"/>
      <c r="R184" s="42"/>
      <c r="S184" s="42"/>
      <c r="T184" s="42"/>
      <c r="U184" s="42"/>
      <c r="V184" s="42"/>
      <c r="W184" s="42"/>
    </row>
    <row r="185" spans="1:23" x14ac:dyDescent="0.2">
      <c r="A185" s="42"/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42"/>
      <c r="Q185" s="42"/>
      <c r="R185" s="42"/>
      <c r="S185" s="42"/>
      <c r="T185" s="42"/>
      <c r="U185" s="42"/>
      <c r="V185" s="42"/>
      <c r="W185" s="42"/>
    </row>
    <row r="186" spans="1:23" x14ac:dyDescent="0.2">
      <c r="A186" s="42"/>
      <c r="B186" s="42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42"/>
      <c r="V186" s="42"/>
      <c r="W186" s="42"/>
    </row>
    <row r="187" spans="1:23" x14ac:dyDescent="0.2">
      <c r="A187" s="42"/>
      <c r="B187" s="42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42"/>
      <c r="Q187" s="42"/>
      <c r="R187" s="42"/>
      <c r="S187" s="42"/>
      <c r="T187" s="42"/>
      <c r="U187" s="42"/>
      <c r="V187" s="42"/>
      <c r="W187" s="42"/>
    </row>
    <row r="188" spans="1:23" x14ac:dyDescent="0.2">
      <c r="A188" s="42"/>
      <c r="B188" s="42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42"/>
      <c r="Q188" s="42"/>
      <c r="R188" s="42"/>
      <c r="S188" s="42"/>
      <c r="T188" s="42"/>
      <c r="U188" s="42"/>
      <c r="V188" s="42"/>
      <c r="W188" s="42"/>
    </row>
    <row r="189" spans="1:23" x14ac:dyDescent="0.2">
      <c r="A189" s="42"/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42"/>
      <c r="Q189" s="42"/>
      <c r="R189" s="42"/>
      <c r="S189" s="42"/>
      <c r="T189" s="42"/>
      <c r="U189" s="42"/>
      <c r="V189" s="42"/>
      <c r="W189" s="42"/>
    </row>
    <row r="190" spans="1:23" x14ac:dyDescent="0.2">
      <c r="A190" s="42"/>
      <c r="B190" s="42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42"/>
      <c r="Q190" s="42"/>
      <c r="R190" s="42"/>
      <c r="S190" s="42"/>
      <c r="T190" s="42"/>
      <c r="U190" s="42"/>
      <c r="V190" s="42"/>
      <c r="W190" s="42"/>
    </row>
    <row r="191" spans="1:23" x14ac:dyDescent="0.2">
      <c r="A191" s="42"/>
      <c r="B191" s="42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42"/>
      <c r="Q191" s="42"/>
      <c r="R191" s="42"/>
      <c r="S191" s="42"/>
      <c r="T191" s="42"/>
      <c r="U191" s="42"/>
      <c r="V191" s="42"/>
      <c r="W191" s="42"/>
    </row>
    <row r="192" spans="1:23" x14ac:dyDescent="0.2">
      <c r="A192" s="42"/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42"/>
      <c r="Q192" s="42"/>
      <c r="R192" s="42"/>
      <c r="S192" s="42"/>
      <c r="T192" s="42"/>
      <c r="U192" s="42"/>
      <c r="V192" s="42"/>
      <c r="W192" s="42"/>
    </row>
    <row r="193" spans="1:23" x14ac:dyDescent="0.2">
      <c r="A193" s="42"/>
      <c r="B193" s="42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42"/>
      <c r="Q193" s="42"/>
      <c r="R193" s="42"/>
      <c r="S193" s="42"/>
      <c r="T193" s="42"/>
      <c r="U193" s="42"/>
      <c r="V193" s="42"/>
      <c r="W193" s="42"/>
    </row>
    <row r="194" spans="1:23" x14ac:dyDescent="0.2">
      <c r="A194" s="42"/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42"/>
      <c r="Q194" s="42"/>
      <c r="R194" s="42"/>
      <c r="S194" s="42"/>
      <c r="T194" s="42"/>
      <c r="U194" s="42"/>
      <c r="V194" s="42"/>
      <c r="W194" s="42"/>
    </row>
    <row r="195" spans="1:23" x14ac:dyDescent="0.2">
      <c r="A195" s="42"/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42"/>
      <c r="Q195" s="42"/>
      <c r="R195" s="42"/>
      <c r="S195" s="42"/>
      <c r="T195" s="42"/>
      <c r="U195" s="42"/>
      <c r="V195" s="42"/>
      <c r="W195" s="42"/>
    </row>
    <row r="196" spans="1:23" x14ac:dyDescent="0.2">
      <c r="A196" s="42"/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42"/>
      <c r="Q196" s="42"/>
      <c r="R196" s="42"/>
      <c r="S196" s="42"/>
      <c r="T196" s="42"/>
      <c r="U196" s="42"/>
      <c r="V196" s="42"/>
      <c r="W196" s="42"/>
    </row>
    <row r="197" spans="1:23" x14ac:dyDescent="0.2">
      <c r="A197" s="42"/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42"/>
      <c r="Q197" s="42"/>
      <c r="R197" s="42"/>
      <c r="S197" s="42"/>
      <c r="T197" s="42"/>
      <c r="U197" s="42"/>
      <c r="V197" s="42"/>
      <c r="W197" s="42"/>
    </row>
    <row r="198" spans="1:23" x14ac:dyDescent="0.2">
      <c r="A198" s="42"/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42"/>
      <c r="Q198" s="42"/>
      <c r="R198" s="42"/>
      <c r="S198" s="42"/>
      <c r="T198" s="42"/>
      <c r="U198" s="42"/>
      <c r="V198" s="42"/>
      <c r="W198" s="42"/>
    </row>
    <row r="199" spans="1:23" x14ac:dyDescent="0.2">
      <c r="A199" s="42"/>
      <c r="B199" s="42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42"/>
      <c r="Q199" s="42"/>
      <c r="R199" s="42"/>
      <c r="S199" s="42"/>
      <c r="T199" s="42"/>
      <c r="U199" s="42"/>
      <c r="V199" s="42"/>
      <c r="W199" s="42"/>
    </row>
    <row r="200" spans="1:23" x14ac:dyDescent="0.2">
      <c r="A200" s="42"/>
      <c r="B200" s="42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42"/>
      <c r="Q200" s="42"/>
      <c r="R200" s="42"/>
      <c r="S200" s="42"/>
      <c r="T200" s="42"/>
      <c r="U200" s="42"/>
      <c r="V200" s="42"/>
      <c r="W200" s="42"/>
    </row>
    <row r="201" spans="1:23" x14ac:dyDescent="0.2">
      <c r="A201" s="42"/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42"/>
      <c r="Q201" s="42"/>
      <c r="R201" s="42"/>
      <c r="S201" s="42"/>
      <c r="T201" s="42"/>
      <c r="U201" s="42"/>
      <c r="V201" s="42"/>
      <c r="W201" s="42"/>
    </row>
    <row r="202" spans="1:23" x14ac:dyDescent="0.2">
      <c r="A202" s="42"/>
      <c r="B202" s="42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42"/>
      <c r="Q202" s="42"/>
      <c r="R202" s="42"/>
      <c r="S202" s="42"/>
      <c r="T202" s="42"/>
      <c r="U202" s="42"/>
      <c r="V202" s="42"/>
      <c r="W202" s="42"/>
    </row>
    <row r="203" spans="1:23" x14ac:dyDescent="0.2">
      <c r="A203" s="42"/>
      <c r="B203" s="42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42"/>
      <c r="Q203" s="42"/>
      <c r="R203" s="42"/>
      <c r="S203" s="42"/>
      <c r="T203" s="42"/>
      <c r="U203" s="42"/>
      <c r="V203" s="42"/>
      <c r="W203" s="42"/>
    </row>
    <row r="204" spans="1:23" x14ac:dyDescent="0.2">
      <c r="A204" s="42"/>
      <c r="B204" s="42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42"/>
      <c r="Q204" s="42"/>
      <c r="R204" s="42"/>
      <c r="S204" s="42"/>
      <c r="T204" s="42"/>
      <c r="U204" s="42"/>
      <c r="V204" s="42"/>
      <c r="W204" s="42"/>
    </row>
    <row r="205" spans="1:23" x14ac:dyDescent="0.2">
      <c r="A205" s="42"/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42"/>
      <c r="Q205" s="42"/>
      <c r="R205" s="42"/>
      <c r="S205" s="42"/>
      <c r="T205" s="42"/>
      <c r="U205" s="42"/>
      <c r="V205" s="42"/>
      <c r="W205" s="42"/>
    </row>
    <row r="206" spans="1:23" x14ac:dyDescent="0.2">
      <c r="A206" s="42"/>
      <c r="B206" s="42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42"/>
      <c r="V206" s="42"/>
      <c r="W206" s="42"/>
    </row>
    <row r="207" spans="1:23" x14ac:dyDescent="0.2">
      <c r="A207" s="42"/>
      <c r="B207" s="42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42"/>
      <c r="Q207" s="42"/>
      <c r="R207" s="42"/>
      <c r="S207" s="42"/>
      <c r="T207" s="42"/>
      <c r="U207" s="42"/>
      <c r="V207" s="42"/>
      <c r="W207" s="42"/>
    </row>
    <row r="208" spans="1:23" x14ac:dyDescent="0.2">
      <c r="A208" s="42"/>
      <c r="B208" s="42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42"/>
      <c r="Q208" s="42"/>
      <c r="R208" s="42"/>
      <c r="S208" s="42"/>
      <c r="T208" s="42"/>
      <c r="U208" s="42"/>
      <c r="V208" s="42"/>
      <c r="W208" s="42"/>
    </row>
    <row r="209" spans="1:23" x14ac:dyDescent="0.2">
      <c r="A209" s="42"/>
      <c r="B209" s="42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42"/>
      <c r="Q209" s="42"/>
      <c r="R209" s="42"/>
      <c r="S209" s="42"/>
      <c r="T209" s="42"/>
      <c r="U209" s="42"/>
      <c r="V209" s="42"/>
      <c r="W209" s="42"/>
    </row>
    <row r="210" spans="1:23" x14ac:dyDescent="0.2">
      <c r="A210" s="42"/>
      <c r="B210" s="42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42"/>
      <c r="Q210" s="42"/>
      <c r="R210" s="42"/>
      <c r="S210" s="42"/>
      <c r="T210" s="42"/>
      <c r="U210" s="42"/>
      <c r="V210" s="42"/>
      <c r="W210" s="42"/>
    </row>
    <row r="211" spans="1:23" x14ac:dyDescent="0.2">
      <c r="A211" s="42"/>
      <c r="B211" s="42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42"/>
      <c r="Q211" s="42"/>
      <c r="R211" s="42"/>
      <c r="S211" s="42"/>
      <c r="T211" s="42"/>
      <c r="U211" s="42"/>
      <c r="V211" s="42"/>
      <c r="W211" s="42"/>
    </row>
    <row r="212" spans="1:23" x14ac:dyDescent="0.2">
      <c r="A212" s="42"/>
      <c r="B212" s="42"/>
      <c r="C212" s="42"/>
      <c r="D212" s="42"/>
      <c r="E212" s="42"/>
      <c r="F212" s="42"/>
      <c r="G212" s="42"/>
      <c r="H212" s="42"/>
      <c r="I212" s="42"/>
      <c r="J212" s="42"/>
      <c r="K212" s="42"/>
      <c r="L212" s="42"/>
      <c r="M212" s="42"/>
      <c r="N212" s="42"/>
      <c r="O212" s="42"/>
      <c r="P212" s="42"/>
      <c r="Q212" s="42"/>
      <c r="R212" s="42"/>
      <c r="S212" s="42"/>
      <c r="T212" s="42"/>
      <c r="U212" s="42"/>
      <c r="V212" s="42"/>
      <c r="W212" s="42"/>
    </row>
    <row r="213" spans="1:23" x14ac:dyDescent="0.2">
      <c r="A213" s="42"/>
      <c r="B213" s="42"/>
      <c r="C213" s="42"/>
      <c r="D213" s="42"/>
      <c r="E213" s="42"/>
      <c r="F213" s="42"/>
      <c r="G213" s="42"/>
      <c r="H213" s="42"/>
      <c r="I213" s="42"/>
      <c r="J213" s="42"/>
      <c r="K213" s="42"/>
      <c r="L213" s="42"/>
      <c r="M213" s="42"/>
      <c r="N213" s="42"/>
      <c r="O213" s="42"/>
      <c r="P213" s="42"/>
      <c r="Q213" s="42"/>
      <c r="R213" s="42"/>
      <c r="S213" s="42"/>
      <c r="T213" s="42"/>
      <c r="U213" s="42"/>
      <c r="V213" s="42"/>
      <c r="W213" s="42"/>
    </row>
    <row r="214" spans="1:23" x14ac:dyDescent="0.2">
      <c r="A214" s="42"/>
      <c r="B214" s="42"/>
      <c r="C214" s="42"/>
      <c r="D214" s="42"/>
      <c r="E214" s="42"/>
      <c r="F214" s="42"/>
      <c r="G214" s="42"/>
      <c r="H214" s="42"/>
      <c r="I214" s="42"/>
      <c r="J214" s="42"/>
      <c r="K214" s="42"/>
      <c r="L214" s="42"/>
      <c r="M214" s="42"/>
      <c r="N214" s="42"/>
      <c r="O214" s="42"/>
      <c r="P214" s="42"/>
      <c r="Q214" s="42"/>
      <c r="R214" s="42"/>
      <c r="S214" s="42"/>
      <c r="T214" s="42"/>
      <c r="U214" s="42"/>
      <c r="V214" s="42"/>
      <c r="W214" s="42"/>
    </row>
    <row r="215" spans="1:23" x14ac:dyDescent="0.2">
      <c r="A215" s="42"/>
      <c r="B215" s="42"/>
      <c r="C215" s="42"/>
      <c r="D215" s="42"/>
      <c r="E215" s="42"/>
      <c r="F215" s="42"/>
      <c r="G215" s="42"/>
      <c r="H215" s="42"/>
      <c r="I215" s="42"/>
      <c r="J215" s="42"/>
      <c r="K215" s="42"/>
      <c r="L215" s="42"/>
      <c r="M215" s="42"/>
      <c r="N215" s="42"/>
      <c r="O215" s="42"/>
      <c r="P215" s="42"/>
      <c r="Q215" s="42"/>
      <c r="R215" s="42"/>
      <c r="S215" s="42"/>
      <c r="T215" s="42"/>
      <c r="U215" s="42"/>
      <c r="V215" s="42"/>
      <c r="W215" s="42"/>
    </row>
    <row r="216" spans="1:23" x14ac:dyDescent="0.2">
      <c r="A216" s="42"/>
      <c r="B216" s="42"/>
      <c r="C216" s="42"/>
      <c r="D216" s="42"/>
      <c r="E216" s="42"/>
      <c r="F216" s="42"/>
      <c r="G216" s="42"/>
      <c r="H216" s="42"/>
      <c r="I216" s="42"/>
      <c r="J216" s="42"/>
      <c r="K216" s="42"/>
      <c r="L216" s="42"/>
      <c r="M216" s="42"/>
      <c r="N216" s="42"/>
      <c r="O216" s="42"/>
      <c r="P216" s="42"/>
      <c r="Q216" s="42"/>
      <c r="R216" s="42"/>
      <c r="S216" s="42"/>
      <c r="T216" s="42"/>
      <c r="U216" s="42"/>
      <c r="V216" s="42"/>
      <c r="W216" s="42"/>
    </row>
    <row r="217" spans="1:23" x14ac:dyDescent="0.2">
      <c r="A217" s="42"/>
      <c r="B217" s="42"/>
      <c r="C217" s="42"/>
      <c r="D217" s="42"/>
      <c r="E217" s="42"/>
      <c r="F217" s="42"/>
      <c r="G217" s="42"/>
      <c r="H217" s="42"/>
      <c r="I217" s="42"/>
      <c r="J217" s="42"/>
      <c r="K217" s="42"/>
      <c r="L217" s="42"/>
      <c r="M217" s="42"/>
      <c r="N217" s="42"/>
      <c r="O217" s="42"/>
      <c r="P217" s="42"/>
      <c r="Q217" s="42"/>
      <c r="R217" s="42"/>
      <c r="S217" s="42"/>
      <c r="T217" s="42"/>
      <c r="U217" s="42"/>
      <c r="V217" s="42"/>
      <c r="W217" s="42"/>
    </row>
    <row r="218" spans="1:23" x14ac:dyDescent="0.2">
      <c r="A218" s="42"/>
      <c r="B218" s="42"/>
      <c r="C218" s="42"/>
      <c r="D218" s="42"/>
      <c r="E218" s="42"/>
      <c r="F218" s="42"/>
      <c r="G218" s="42"/>
      <c r="H218" s="42"/>
      <c r="I218" s="42"/>
      <c r="J218" s="42"/>
      <c r="K218" s="42"/>
      <c r="L218" s="42"/>
      <c r="M218" s="42"/>
      <c r="N218" s="42"/>
      <c r="O218" s="42"/>
      <c r="P218" s="42"/>
      <c r="Q218" s="42"/>
      <c r="R218" s="42"/>
      <c r="S218" s="42"/>
      <c r="T218" s="42"/>
      <c r="U218" s="42"/>
      <c r="V218" s="42"/>
      <c r="W218" s="42"/>
    </row>
    <row r="219" spans="1:23" x14ac:dyDescent="0.2">
      <c r="A219" s="42"/>
      <c r="B219" s="42"/>
      <c r="C219" s="42"/>
      <c r="D219" s="42"/>
      <c r="E219" s="42"/>
      <c r="F219" s="42"/>
      <c r="G219" s="42"/>
      <c r="H219" s="42"/>
      <c r="I219" s="42"/>
      <c r="J219" s="42"/>
      <c r="K219" s="42"/>
      <c r="L219" s="42"/>
      <c r="M219" s="42"/>
      <c r="N219" s="42"/>
      <c r="O219" s="42"/>
      <c r="P219" s="42"/>
      <c r="Q219" s="42"/>
      <c r="R219" s="42"/>
      <c r="S219" s="42"/>
      <c r="T219" s="42"/>
      <c r="U219" s="42"/>
      <c r="V219" s="42"/>
      <c r="W219" s="42"/>
    </row>
    <row r="220" spans="1:23" x14ac:dyDescent="0.2">
      <c r="A220" s="42"/>
      <c r="B220" s="42"/>
      <c r="C220" s="42"/>
      <c r="D220" s="42"/>
      <c r="E220" s="42"/>
      <c r="F220" s="42"/>
      <c r="G220" s="42"/>
      <c r="H220" s="42"/>
      <c r="I220" s="42"/>
      <c r="J220" s="42"/>
      <c r="K220" s="42"/>
      <c r="L220" s="42"/>
      <c r="M220" s="42"/>
      <c r="N220" s="42"/>
      <c r="O220" s="42"/>
      <c r="P220" s="42"/>
      <c r="Q220" s="42"/>
      <c r="R220" s="42"/>
      <c r="S220" s="42"/>
      <c r="T220" s="42"/>
      <c r="U220" s="42"/>
      <c r="V220" s="42"/>
      <c r="W220" s="42"/>
    </row>
    <row r="221" spans="1:23" x14ac:dyDescent="0.2">
      <c r="A221" s="42"/>
      <c r="B221" s="42"/>
      <c r="C221" s="42"/>
      <c r="D221" s="42"/>
      <c r="E221" s="42"/>
      <c r="F221" s="42"/>
      <c r="G221" s="42"/>
      <c r="H221" s="42"/>
      <c r="I221" s="42"/>
      <c r="J221" s="42"/>
      <c r="K221" s="42"/>
      <c r="L221" s="42"/>
      <c r="M221" s="42"/>
      <c r="N221" s="42"/>
      <c r="O221" s="42"/>
      <c r="P221" s="42"/>
      <c r="Q221" s="42"/>
      <c r="R221" s="42"/>
      <c r="S221" s="42"/>
      <c r="T221" s="42"/>
      <c r="U221" s="42"/>
      <c r="V221" s="42"/>
      <c r="W221" s="42"/>
    </row>
    <row r="222" spans="1:23" x14ac:dyDescent="0.2">
      <c r="A222" s="42"/>
      <c r="B222" s="42"/>
      <c r="C222" s="42"/>
      <c r="D222" s="42"/>
      <c r="E222" s="42"/>
      <c r="F222" s="42"/>
      <c r="G222" s="42"/>
      <c r="H222" s="42"/>
      <c r="I222" s="42"/>
      <c r="J222" s="42"/>
      <c r="K222" s="42"/>
      <c r="L222" s="42"/>
      <c r="M222" s="42"/>
      <c r="N222" s="42"/>
      <c r="O222" s="42"/>
      <c r="P222" s="42"/>
      <c r="Q222" s="42"/>
      <c r="R222" s="42"/>
      <c r="S222" s="42"/>
      <c r="T222" s="42"/>
      <c r="U222" s="42"/>
      <c r="V222" s="42"/>
      <c r="W222" s="42"/>
    </row>
    <row r="223" spans="1:23" x14ac:dyDescent="0.2">
      <c r="A223" s="42"/>
      <c r="B223" s="42"/>
      <c r="C223" s="42"/>
      <c r="D223" s="42"/>
      <c r="E223" s="42"/>
      <c r="F223" s="42"/>
      <c r="G223" s="42"/>
      <c r="H223" s="42"/>
      <c r="I223" s="42"/>
      <c r="J223" s="42"/>
      <c r="K223" s="42"/>
      <c r="L223" s="42"/>
      <c r="M223" s="42"/>
      <c r="N223" s="42"/>
      <c r="O223" s="42"/>
      <c r="P223" s="42"/>
      <c r="Q223" s="42"/>
      <c r="R223" s="42"/>
      <c r="S223" s="42"/>
      <c r="T223" s="42"/>
      <c r="U223" s="42"/>
      <c r="V223" s="42"/>
      <c r="W223" s="42"/>
    </row>
    <row r="224" spans="1:23" x14ac:dyDescent="0.2">
      <c r="A224" s="42"/>
      <c r="B224" s="42"/>
      <c r="C224" s="42"/>
      <c r="D224" s="42"/>
      <c r="E224" s="42"/>
      <c r="F224" s="42"/>
      <c r="G224" s="42"/>
      <c r="H224" s="42"/>
      <c r="I224" s="42"/>
      <c r="J224" s="42"/>
      <c r="K224" s="42"/>
      <c r="L224" s="42"/>
      <c r="M224" s="42"/>
      <c r="N224" s="42"/>
      <c r="O224" s="42"/>
      <c r="P224" s="42"/>
      <c r="Q224" s="42"/>
      <c r="R224" s="42"/>
      <c r="S224" s="42"/>
      <c r="T224" s="42"/>
      <c r="U224" s="42"/>
      <c r="V224" s="42"/>
      <c r="W224" s="42"/>
    </row>
    <row r="225" spans="1:23" x14ac:dyDescent="0.2">
      <c r="A225" s="42"/>
      <c r="B225" s="42"/>
      <c r="C225" s="42"/>
      <c r="D225" s="42"/>
      <c r="E225" s="42"/>
      <c r="F225" s="42"/>
      <c r="G225" s="42"/>
      <c r="H225" s="42"/>
      <c r="I225" s="42"/>
      <c r="J225" s="42"/>
      <c r="K225" s="42"/>
      <c r="L225" s="42"/>
      <c r="M225" s="42"/>
      <c r="N225" s="42"/>
      <c r="O225" s="42"/>
      <c r="P225" s="42"/>
      <c r="Q225" s="42"/>
      <c r="R225" s="42"/>
      <c r="S225" s="42"/>
      <c r="T225" s="42"/>
      <c r="U225" s="42"/>
      <c r="V225" s="42"/>
      <c r="W225" s="42"/>
    </row>
    <row r="226" spans="1:23" x14ac:dyDescent="0.2">
      <c r="A226" s="42"/>
      <c r="B226" s="42"/>
      <c r="C226" s="42"/>
      <c r="D226" s="42"/>
      <c r="E226" s="42"/>
      <c r="F226" s="42"/>
      <c r="G226" s="42"/>
      <c r="H226" s="42"/>
      <c r="I226" s="42"/>
      <c r="J226" s="42"/>
      <c r="K226" s="42"/>
      <c r="L226" s="42"/>
      <c r="M226" s="42"/>
      <c r="N226" s="42"/>
      <c r="O226" s="42"/>
      <c r="P226" s="42"/>
      <c r="Q226" s="42"/>
      <c r="R226" s="42"/>
      <c r="S226" s="42"/>
      <c r="T226" s="42"/>
      <c r="U226" s="42"/>
      <c r="V226" s="42"/>
      <c r="W226" s="42"/>
    </row>
    <row r="227" spans="1:23" x14ac:dyDescent="0.2">
      <c r="A227" s="42"/>
      <c r="B227" s="42"/>
      <c r="C227" s="42"/>
      <c r="D227" s="42"/>
      <c r="E227" s="42"/>
      <c r="F227" s="42"/>
      <c r="G227" s="42"/>
      <c r="H227" s="42"/>
      <c r="I227" s="42"/>
      <c r="J227" s="42"/>
      <c r="K227" s="42"/>
      <c r="L227" s="42"/>
      <c r="M227" s="42"/>
      <c r="N227" s="42"/>
      <c r="O227" s="42"/>
      <c r="P227" s="42"/>
      <c r="Q227" s="42"/>
      <c r="R227" s="42"/>
      <c r="S227" s="42"/>
      <c r="T227" s="42"/>
      <c r="U227" s="42"/>
      <c r="V227" s="42"/>
      <c r="W227" s="42"/>
    </row>
    <row r="228" spans="1:23" x14ac:dyDescent="0.2">
      <c r="A228" s="42"/>
      <c r="B228" s="42"/>
      <c r="C228" s="42"/>
      <c r="D228" s="42"/>
      <c r="E228" s="42"/>
      <c r="F228" s="42"/>
      <c r="G228" s="42"/>
      <c r="H228" s="42"/>
      <c r="I228" s="42"/>
      <c r="J228" s="42"/>
      <c r="K228" s="42"/>
      <c r="L228" s="42"/>
      <c r="M228" s="42"/>
      <c r="N228" s="42"/>
      <c r="O228" s="42"/>
      <c r="P228" s="42"/>
      <c r="Q228" s="42"/>
      <c r="R228" s="42"/>
      <c r="S228" s="42"/>
      <c r="T228" s="42"/>
      <c r="U228" s="42"/>
      <c r="V228" s="42"/>
      <c r="W228" s="42"/>
    </row>
    <row r="229" spans="1:23" x14ac:dyDescent="0.2">
      <c r="A229" s="42"/>
      <c r="B229" s="42"/>
      <c r="C229" s="42"/>
      <c r="D229" s="42"/>
      <c r="E229" s="42"/>
      <c r="F229" s="42"/>
      <c r="G229" s="42"/>
      <c r="H229" s="42"/>
      <c r="I229" s="42"/>
      <c r="J229" s="42"/>
      <c r="K229" s="42"/>
      <c r="L229" s="42"/>
      <c r="M229" s="42"/>
      <c r="N229" s="42"/>
      <c r="O229" s="42"/>
      <c r="P229" s="42"/>
      <c r="Q229" s="42"/>
      <c r="R229" s="42"/>
      <c r="S229" s="42"/>
      <c r="T229" s="42"/>
      <c r="U229" s="42"/>
      <c r="V229" s="42"/>
      <c r="W229" s="42"/>
    </row>
    <row r="230" spans="1:23" x14ac:dyDescent="0.2">
      <c r="A230" s="42"/>
      <c r="B230" s="42"/>
      <c r="C230" s="42"/>
      <c r="D230" s="42"/>
      <c r="E230" s="42"/>
      <c r="F230" s="42"/>
      <c r="G230" s="42"/>
      <c r="H230" s="42"/>
      <c r="I230" s="42"/>
      <c r="J230" s="42"/>
      <c r="K230" s="42"/>
      <c r="L230" s="42"/>
      <c r="M230" s="42"/>
      <c r="N230" s="42"/>
      <c r="O230" s="42"/>
      <c r="P230" s="42"/>
      <c r="Q230" s="42"/>
      <c r="R230" s="42"/>
      <c r="S230" s="42"/>
      <c r="T230" s="42"/>
      <c r="U230" s="42"/>
      <c r="V230" s="42"/>
      <c r="W230" s="42"/>
    </row>
    <row r="231" spans="1:23" x14ac:dyDescent="0.2">
      <c r="J231" s="42"/>
      <c r="L231" s="42"/>
      <c r="N231" s="42"/>
      <c r="O231" s="42"/>
      <c r="Q231" s="42"/>
      <c r="R231" s="42"/>
      <c r="T231" s="42"/>
      <c r="U231" s="42"/>
      <c r="W231" s="42"/>
    </row>
    <row r="232" spans="1:23" x14ac:dyDescent="0.2">
      <c r="O232" s="42"/>
      <c r="R232" s="42"/>
      <c r="U232" s="42"/>
    </row>
  </sheetData>
  <mergeCells count="132">
    <mergeCell ref="B2:N2"/>
    <mergeCell ref="B3:N3"/>
    <mergeCell ref="B4:N4"/>
    <mergeCell ref="B5:N5"/>
    <mergeCell ref="B6:N6"/>
    <mergeCell ref="C7:E7"/>
    <mergeCell ref="F7:N7"/>
    <mergeCell ref="C8:E8"/>
    <mergeCell ref="F8:N8"/>
    <mergeCell ref="B10:N10"/>
    <mergeCell ref="C11:E11"/>
    <mergeCell ref="F11:N11"/>
    <mergeCell ref="C13:E13"/>
    <mergeCell ref="F13:N13"/>
    <mergeCell ref="C12:E12"/>
    <mergeCell ref="F12:N12"/>
    <mergeCell ref="C14:E14"/>
    <mergeCell ref="F14:N14"/>
    <mergeCell ref="C15:E15"/>
    <mergeCell ref="F15:N15"/>
    <mergeCell ref="B17:N17"/>
    <mergeCell ref="B18:C18"/>
    <mergeCell ref="E18:G18"/>
    <mergeCell ref="H18:N18"/>
    <mergeCell ref="B19:C19"/>
    <mergeCell ref="E19:G19"/>
    <mergeCell ref="H19:N19"/>
    <mergeCell ref="B20:N20"/>
    <mergeCell ref="B21:N22"/>
    <mergeCell ref="C23:E23"/>
    <mergeCell ref="F23:N23"/>
    <mergeCell ref="C24:E24"/>
    <mergeCell ref="F24:N24"/>
    <mergeCell ref="C25:E25"/>
    <mergeCell ref="F25:N25"/>
    <mergeCell ref="C26:E26"/>
    <mergeCell ref="F26:N26"/>
    <mergeCell ref="B28:N28"/>
    <mergeCell ref="C29:D29"/>
    <mergeCell ref="C30:D30"/>
    <mergeCell ref="C31:D31"/>
    <mergeCell ref="C32:D32"/>
    <mergeCell ref="C33:D33"/>
    <mergeCell ref="C34:D34"/>
    <mergeCell ref="C35:D35"/>
    <mergeCell ref="C36:D36"/>
    <mergeCell ref="C37:E37"/>
    <mergeCell ref="B39:N39"/>
    <mergeCell ref="B40:N40"/>
    <mergeCell ref="C41:E41"/>
    <mergeCell ref="C42:D42"/>
    <mergeCell ref="C43:D43"/>
    <mergeCell ref="B44:D44"/>
    <mergeCell ref="B46:N46"/>
    <mergeCell ref="C47:D47"/>
    <mergeCell ref="C48:D48"/>
    <mergeCell ref="C49:D49"/>
    <mergeCell ref="C50:D50"/>
    <mergeCell ref="C51:D51"/>
    <mergeCell ref="C52:D52"/>
    <mergeCell ref="C53:D53"/>
    <mergeCell ref="C54:D54"/>
    <mergeCell ref="C55:D55"/>
    <mergeCell ref="B56:D56"/>
    <mergeCell ref="B58:N58"/>
    <mergeCell ref="C59:D59"/>
    <mergeCell ref="C60:D60"/>
    <mergeCell ref="C61:D61"/>
    <mergeCell ref="C62:D62"/>
    <mergeCell ref="C63:D63"/>
    <mergeCell ref="B64:E64"/>
    <mergeCell ref="B66:N66"/>
    <mergeCell ref="C67:D67"/>
    <mergeCell ref="C68:D68"/>
    <mergeCell ref="C69:D69"/>
    <mergeCell ref="C70:D70"/>
    <mergeCell ref="B71:D71"/>
    <mergeCell ref="B73:N73"/>
    <mergeCell ref="C74:D74"/>
    <mergeCell ref="C75:D75"/>
    <mergeCell ref="C76:D76"/>
    <mergeCell ref="C77:D77"/>
    <mergeCell ref="C78:D78"/>
    <mergeCell ref="C79:D79"/>
    <mergeCell ref="C80:D80"/>
    <mergeCell ref="B81:D81"/>
    <mergeCell ref="B83:N83"/>
    <mergeCell ref="B84:N84"/>
    <mergeCell ref="C85:D85"/>
    <mergeCell ref="C86:D86"/>
    <mergeCell ref="C87:D87"/>
    <mergeCell ref="C88:D88"/>
    <mergeCell ref="C89:D89"/>
    <mergeCell ref="C90:D90"/>
    <mergeCell ref="C91:D91"/>
    <mergeCell ref="B92:D92"/>
    <mergeCell ref="B94:N94"/>
    <mergeCell ref="C95:D95"/>
    <mergeCell ref="C96:D96"/>
    <mergeCell ref="B97:E97"/>
    <mergeCell ref="B99:N99"/>
    <mergeCell ref="C100:D100"/>
    <mergeCell ref="C101:D101"/>
    <mergeCell ref="C102:D102"/>
    <mergeCell ref="B103:D103"/>
    <mergeCell ref="B105:N105"/>
    <mergeCell ref="C106:D106"/>
    <mergeCell ref="C107:D107"/>
    <mergeCell ref="C108:D108"/>
    <mergeCell ref="C109:D109"/>
    <mergeCell ref="C110:D110"/>
    <mergeCell ref="C111:E111"/>
    <mergeCell ref="B113:N113"/>
    <mergeCell ref="C114:D114"/>
    <mergeCell ref="C115:D115"/>
    <mergeCell ref="D127:E127"/>
    <mergeCell ref="C116:D116"/>
    <mergeCell ref="C117:D117"/>
    <mergeCell ref="C118:D118"/>
    <mergeCell ref="C119:D119"/>
    <mergeCell ref="C120:D120"/>
    <mergeCell ref="C121:E121"/>
    <mergeCell ref="D128:E128"/>
    <mergeCell ref="B122:F122"/>
    <mergeCell ref="D129:E129"/>
    <mergeCell ref="C130:E130"/>
    <mergeCell ref="D131:E131"/>
    <mergeCell ref="C132:E132"/>
    <mergeCell ref="B123:N123"/>
    <mergeCell ref="C124:E124"/>
    <mergeCell ref="D125:E125"/>
    <mergeCell ref="D126:E126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55" fitToHeight="0" orientation="portrait" r:id="rId1"/>
  <rowBreaks count="1" manualBreakCount="1">
    <brk id="71" min="1" max="9" man="1"/>
  </rowBreaks>
  <colBreaks count="1" manualBreakCount="1">
    <brk id="2" min="1" max="130" man="1"/>
  </col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E31773-B941-4D4F-BB50-E5210FC86681}">
  <sheetPr>
    <pageSetUpPr fitToPage="1"/>
  </sheetPr>
  <dimension ref="A1:S232"/>
  <sheetViews>
    <sheetView view="pageBreakPreview" topLeftCell="E106" zoomScaleNormal="100" zoomScaleSheetLayoutView="100" workbookViewId="0">
      <selection activeCell="N132" sqref="N132"/>
    </sheetView>
  </sheetViews>
  <sheetFormatPr defaultRowHeight="12.75" x14ac:dyDescent="0.2"/>
  <cols>
    <col min="1" max="1" width="2.42578125" style="68" customWidth="1"/>
    <col min="2" max="2" width="5.42578125" style="68" customWidth="1"/>
    <col min="3" max="3" width="10.140625" style="68" customWidth="1"/>
    <col min="4" max="4" width="40.42578125" style="68" customWidth="1"/>
    <col min="5" max="5" width="9.7109375" style="68" customWidth="1"/>
    <col min="6" max="6" width="16.140625" style="68" customWidth="1"/>
    <col min="7" max="7" width="9.7109375" style="68" customWidth="1"/>
    <col min="8" max="8" width="16.140625" style="68" customWidth="1"/>
    <col min="9" max="9" width="9.7109375" style="68" customWidth="1"/>
    <col min="10" max="10" width="16.140625" style="68" customWidth="1"/>
    <col min="11" max="11" width="9.7109375" style="68" customWidth="1"/>
    <col min="12" max="12" width="16.140625" style="68" customWidth="1"/>
    <col min="13" max="13" width="9.7109375" style="68" customWidth="1"/>
    <col min="14" max="14" width="16.140625" style="68" customWidth="1"/>
    <col min="15" max="15" width="9.140625" style="68"/>
    <col min="16" max="16" width="9.7109375" style="68" customWidth="1"/>
    <col min="17" max="17" width="16.140625" style="68" customWidth="1"/>
    <col min="18" max="16384" width="9.140625" style="68"/>
  </cols>
  <sheetData>
    <row r="1" spans="1:19" ht="13.5" thickBot="1" x14ac:dyDescent="0.25">
      <c r="A1" s="42"/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</row>
    <row r="2" spans="1:19" ht="15" x14ac:dyDescent="0.25">
      <c r="A2" s="42"/>
      <c r="B2" s="363" t="s">
        <v>17</v>
      </c>
      <c r="C2" s="364"/>
      <c r="D2" s="364"/>
      <c r="E2" s="364"/>
      <c r="F2" s="364"/>
      <c r="G2" s="364"/>
      <c r="H2" s="364"/>
      <c r="I2" s="364"/>
      <c r="J2" s="364"/>
      <c r="K2" s="364"/>
      <c r="L2" s="364"/>
      <c r="M2" s="364"/>
      <c r="N2" s="365"/>
      <c r="O2" s="42"/>
      <c r="P2" s="42"/>
      <c r="Q2" s="42"/>
      <c r="R2" s="42"/>
      <c r="S2" s="42"/>
    </row>
    <row r="3" spans="1:19" ht="15" customHeight="1" x14ac:dyDescent="0.25">
      <c r="A3" s="42"/>
      <c r="B3" s="366" t="s">
        <v>70</v>
      </c>
      <c r="C3" s="367"/>
      <c r="D3" s="367"/>
      <c r="E3" s="367"/>
      <c r="F3" s="367"/>
      <c r="G3" s="367"/>
      <c r="H3" s="367"/>
      <c r="I3" s="367"/>
      <c r="J3" s="367"/>
      <c r="K3" s="367"/>
      <c r="L3" s="367"/>
      <c r="M3" s="367"/>
      <c r="N3" s="368"/>
      <c r="O3" s="42"/>
      <c r="P3" s="42"/>
      <c r="Q3" s="42"/>
      <c r="R3" s="42"/>
      <c r="S3" s="42"/>
    </row>
    <row r="4" spans="1:19" ht="15" customHeight="1" x14ac:dyDescent="0.25">
      <c r="A4" s="42"/>
      <c r="B4" s="366" t="s">
        <v>19</v>
      </c>
      <c r="C4" s="367"/>
      <c r="D4" s="367"/>
      <c r="E4" s="367"/>
      <c r="F4" s="367"/>
      <c r="G4" s="367"/>
      <c r="H4" s="367"/>
      <c r="I4" s="367"/>
      <c r="J4" s="367"/>
      <c r="K4" s="367"/>
      <c r="L4" s="367"/>
      <c r="M4" s="367"/>
      <c r="N4" s="368"/>
      <c r="O4" s="42"/>
      <c r="P4" s="42"/>
      <c r="Q4" s="42"/>
      <c r="R4" s="42"/>
      <c r="S4" s="42"/>
    </row>
    <row r="5" spans="1:19" ht="15.75" thickBot="1" x14ac:dyDescent="0.3">
      <c r="A5" s="42"/>
      <c r="B5" s="366" t="s">
        <v>126</v>
      </c>
      <c r="C5" s="367"/>
      <c r="D5" s="367"/>
      <c r="E5" s="367"/>
      <c r="F5" s="367"/>
      <c r="G5" s="367"/>
      <c r="H5" s="367"/>
      <c r="I5" s="367"/>
      <c r="J5" s="367"/>
      <c r="K5" s="367"/>
      <c r="L5" s="367"/>
      <c r="M5" s="367"/>
      <c r="N5" s="368"/>
      <c r="O5" s="42"/>
      <c r="P5" s="42"/>
      <c r="Q5" s="42"/>
      <c r="R5" s="42"/>
      <c r="S5" s="42"/>
    </row>
    <row r="6" spans="1:19" ht="15.75" thickBot="1" x14ac:dyDescent="0.3">
      <c r="A6" s="42"/>
      <c r="B6" s="369" t="s">
        <v>32</v>
      </c>
      <c r="C6" s="370"/>
      <c r="D6" s="370"/>
      <c r="E6" s="370"/>
      <c r="F6" s="370"/>
      <c r="G6" s="370"/>
      <c r="H6" s="370"/>
      <c r="I6" s="370"/>
      <c r="J6" s="370"/>
      <c r="K6" s="370"/>
      <c r="L6" s="370"/>
      <c r="M6" s="370"/>
      <c r="N6" s="371"/>
      <c r="O6" s="42"/>
      <c r="P6" s="42"/>
      <c r="Q6" s="42"/>
      <c r="R6" s="42"/>
      <c r="S6" s="42"/>
    </row>
    <row r="7" spans="1:19" ht="15.75" thickBot="1" x14ac:dyDescent="0.3">
      <c r="A7" s="42"/>
      <c r="B7" s="41"/>
      <c r="C7" s="372" t="s">
        <v>20</v>
      </c>
      <c r="D7" s="373"/>
      <c r="E7" s="374"/>
      <c r="F7" s="375" t="s">
        <v>221</v>
      </c>
      <c r="G7" s="376"/>
      <c r="H7" s="376"/>
      <c r="I7" s="376"/>
      <c r="J7" s="376"/>
      <c r="K7" s="376"/>
      <c r="L7" s="376"/>
      <c r="M7" s="376"/>
      <c r="N7" s="377"/>
      <c r="O7" s="42"/>
      <c r="P7" s="42"/>
      <c r="Q7" s="42"/>
      <c r="R7" s="42"/>
      <c r="S7" s="42"/>
    </row>
    <row r="8" spans="1:19" ht="15.75" thickBot="1" x14ac:dyDescent="0.3">
      <c r="A8" s="42"/>
      <c r="B8" s="69"/>
      <c r="C8" s="395" t="s">
        <v>72</v>
      </c>
      <c r="D8" s="396"/>
      <c r="E8" s="397"/>
      <c r="F8" s="398" t="s">
        <v>222</v>
      </c>
      <c r="G8" s="399"/>
      <c r="H8" s="399"/>
      <c r="I8" s="399"/>
      <c r="J8" s="399"/>
      <c r="K8" s="399"/>
      <c r="L8" s="399"/>
      <c r="M8" s="399"/>
      <c r="N8" s="400"/>
      <c r="O8" s="42"/>
      <c r="P8" s="42"/>
      <c r="Q8" s="42"/>
      <c r="R8" s="42"/>
      <c r="S8" s="42"/>
    </row>
    <row r="9" spans="1:19" ht="15" thickBot="1" x14ac:dyDescent="0.25">
      <c r="A9" s="42"/>
      <c r="B9" s="42"/>
      <c r="C9" s="1"/>
      <c r="D9" s="42"/>
      <c r="E9" s="42"/>
      <c r="F9" s="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</row>
    <row r="10" spans="1:19" ht="15.75" thickBot="1" x14ac:dyDescent="0.3">
      <c r="A10" s="42"/>
      <c r="B10" s="363" t="s">
        <v>33</v>
      </c>
      <c r="C10" s="364"/>
      <c r="D10" s="364"/>
      <c r="E10" s="364"/>
      <c r="F10" s="364"/>
      <c r="G10" s="364"/>
      <c r="H10" s="364"/>
      <c r="I10" s="364"/>
      <c r="J10" s="364"/>
      <c r="K10" s="364"/>
      <c r="L10" s="364"/>
      <c r="M10" s="364"/>
      <c r="N10" s="365"/>
      <c r="O10" s="42"/>
      <c r="P10" s="42"/>
      <c r="Q10" s="42"/>
      <c r="R10" s="42"/>
      <c r="S10" s="42"/>
    </row>
    <row r="11" spans="1:19" x14ac:dyDescent="0.2">
      <c r="A11" s="42"/>
      <c r="B11" s="70" t="s">
        <v>1</v>
      </c>
      <c r="C11" s="401" t="s">
        <v>21</v>
      </c>
      <c r="D11" s="402"/>
      <c r="E11" s="402"/>
      <c r="F11" s="403">
        <v>43969</v>
      </c>
      <c r="G11" s="404"/>
      <c r="H11" s="404"/>
      <c r="I11" s="404"/>
      <c r="J11" s="404"/>
      <c r="K11" s="404"/>
      <c r="L11" s="404"/>
      <c r="M11" s="404"/>
      <c r="N11" s="405"/>
      <c r="O11" s="42"/>
      <c r="P11" s="42"/>
      <c r="Q11" s="42"/>
      <c r="R11" s="42"/>
      <c r="S11" s="42"/>
    </row>
    <row r="12" spans="1:19" x14ac:dyDescent="0.2">
      <c r="A12" s="42"/>
      <c r="B12" s="197" t="s">
        <v>2</v>
      </c>
      <c r="C12" s="378" t="s">
        <v>241</v>
      </c>
      <c r="D12" s="379"/>
      <c r="E12" s="379"/>
      <c r="F12" s="380">
        <v>45450</v>
      </c>
      <c r="G12" s="407"/>
      <c r="H12" s="407"/>
      <c r="I12" s="407"/>
      <c r="J12" s="407"/>
      <c r="K12" s="407"/>
      <c r="L12" s="407"/>
      <c r="M12" s="407"/>
      <c r="N12" s="408"/>
      <c r="O12" s="42"/>
      <c r="P12" s="42"/>
      <c r="Q12" s="42"/>
      <c r="R12" s="42"/>
      <c r="S12" s="42"/>
    </row>
    <row r="13" spans="1:19" x14ac:dyDescent="0.2">
      <c r="A13" s="42"/>
      <c r="B13" s="71" t="s">
        <v>4</v>
      </c>
      <c r="C13" s="378" t="s">
        <v>3</v>
      </c>
      <c r="D13" s="379"/>
      <c r="E13" s="379"/>
      <c r="F13" s="406" t="s">
        <v>75</v>
      </c>
      <c r="G13" s="407"/>
      <c r="H13" s="407"/>
      <c r="I13" s="407"/>
      <c r="J13" s="407"/>
      <c r="K13" s="407"/>
      <c r="L13" s="407"/>
      <c r="M13" s="407"/>
      <c r="N13" s="408"/>
      <c r="O13" s="42"/>
      <c r="P13" s="42"/>
      <c r="Q13" s="42"/>
      <c r="R13" s="42"/>
      <c r="S13" s="42"/>
    </row>
    <row r="14" spans="1:19" x14ac:dyDescent="0.2">
      <c r="A14" s="42"/>
      <c r="B14" s="71" t="s">
        <v>5</v>
      </c>
      <c r="C14" s="378" t="s">
        <v>22</v>
      </c>
      <c r="D14" s="379"/>
      <c r="E14" s="379"/>
      <c r="F14" s="380" t="s">
        <v>294</v>
      </c>
      <c r="G14" s="381"/>
      <c r="H14" s="381"/>
      <c r="I14" s="381"/>
      <c r="J14" s="381"/>
      <c r="K14" s="381"/>
      <c r="L14" s="381"/>
      <c r="M14" s="381"/>
      <c r="N14" s="382"/>
      <c r="O14" s="42"/>
      <c r="P14" s="42"/>
      <c r="Q14" s="42"/>
      <c r="R14" s="42"/>
      <c r="S14" s="42"/>
    </row>
    <row r="15" spans="1:19" ht="13.5" thickBot="1" x14ac:dyDescent="0.25">
      <c r="A15" s="42"/>
      <c r="B15" s="72" t="s">
        <v>6</v>
      </c>
      <c r="C15" s="383" t="s">
        <v>23</v>
      </c>
      <c r="D15" s="384"/>
      <c r="E15" s="384"/>
      <c r="F15" s="385">
        <v>12</v>
      </c>
      <c r="G15" s="386"/>
      <c r="H15" s="386"/>
      <c r="I15" s="386"/>
      <c r="J15" s="386"/>
      <c r="K15" s="386"/>
      <c r="L15" s="386"/>
      <c r="M15" s="386"/>
      <c r="N15" s="387"/>
      <c r="O15" s="42"/>
      <c r="P15" s="42"/>
      <c r="Q15" s="42"/>
      <c r="R15" s="42"/>
      <c r="S15" s="42"/>
    </row>
    <row r="16" spans="1:19" x14ac:dyDescent="0.2">
      <c r="A16" s="42"/>
      <c r="B16" s="73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</row>
    <row r="17" spans="1:19" ht="15.75" thickBot="1" x14ac:dyDescent="0.3">
      <c r="A17" s="42"/>
      <c r="B17" s="367" t="s">
        <v>34</v>
      </c>
      <c r="C17" s="367"/>
      <c r="D17" s="367"/>
      <c r="E17" s="367"/>
      <c r="F17" s="367"/>
      <c r="G17" s="367"/>
      <c r="H17" s="367"/>
      <c r="I17" s="367"/>
      <c r="J17" s="367"/>
      <c r="K17" s="367"/>
      <c r="L17" s="367"/>
      <c r="M17" s="367"/>
      <c r="N17" s="367"/>
      <c r="O17" s="42"/>
      <c r="P17" s="42"/>
      <c r="Q17" s="42"/>
      <c r="R17" s="42"/>
      <c r="S17" s="42"/>
    </row>
    <row r="18" spans="1:19" ht="13.5" thickBot="1" x14ac:dyDescent="0.25">
      <c r="A18" s="42"/>
      <c r="B18" s="388" t="s">
        <v>24</v>
      </c>
      <c r="C18" s="373"/>
      <c r="D18" s="15" t="s">
        <v>25</v>
      </c>
      <c r="E18" s="389" t="s">
        <v>26</v>
      </c>
      <c r="F18" s="390"/>
      <c r="G18" s="391"/>
      <c r="H18" s="392" t="s">
        <v>62</v>
      </c>
      <c r="I18" s="393"/>
      <c r="J18" s="393"/>
      <c r="K18" s="393"/>
      <c r="L18" s="393"/>
      <c r="M18" s="393"/>
      <c r="N18" s="394"/>
      <c r="O18" s="42"/>
      <c r="P18" s="42"/>
      <c r="Q18" s="42"/>
      <c r="R18" s="42"/>
      <c r="S18" s="42"/>
    </row>
    <row r="19" spans="1:19" x14ac:dyDescent="0.2">
      <c r="A19" s="42"/>
      <c r="B19" s="422" t="s">
        <v>227</v>
      </c>
      <c r="C19" s="423"/>
      <c r="D19" s="140" t="s">
        <v>66</v>
      </c>
      <c r="E19" s="424">
        <v>1</v>
      </c>
      <c r="F19" s="424"/>
      <c r="G19" s="424"/>
      <c r="H19" s="425">
        <v>2</v>
      </c>
      <c r="I19" s="426"/>
      <c r="J19" s="426"/>
      <c r="K19" s="426"/>
      <c r="L19" s="426"/>
      <c r="M19" s="426"/>
      <c r="N19" s="427"/>
      <c r="O19" s="42"/>
      <c r="P19" s="42"/>
      <c r="Q19" s="42"/>
      <c r="R19" s="42"/>
      <c r="S19" s="42"/>
    </row>
    <row r="20" spans="1:19" ht="13.5" thickBot="1" x14ac:dyDescent="0.25">
      <c r="A20" s="42"/>
      <c r="B20" s="383"/>
      <c r="C20" s="384"/>
      <c r="D20" s="384"/>
      <c r="E20" s="384"/>
      <c r="F20" s="384"/>
      <c r="G20" s="384"/>
      <c r="H20" s="384"/>
      <c r="I20" s="384"/>
      <c r="J20" s="384"/>
      <c r="K20" s="384"/>
      <c r="L20" s="384"/>
      <c r="M20" s="384"/>
      <c r="N20" s="451"/>
      <c r="O20" s="42"/>
      <c r="P20" s="42"/>
      <c r="Q20" s="42"/>
      <c r="R20" s="42"/>
      <c r="S20" s="42"/>
    </row>
    <row r="21" spans="1:19" ht="12.75" customHeight="1" x14ac:dyDescent="0.2">
      <c r="A21" s="42"/>
      <c r="B21" s="431" t="s">
        <v>27</v>
      </c>
      <c r="C21" s="431"/>
      <c r="D21" s="431"/>
      <c r="E21" s="431"/>
      <c r="F21" s="431"/>
      <c r="G21" s="431"/>
      <c r="H21" s="431"/>
      <c r="I21" s="431"/>
      <c r="J21" s="431"/>
      <c r="K21" s="431"/>
      <c r="L21" s="431"/>
      <c r="M21" s="431"/>
      <c r="N21" s="431"/>
      <c r="O21" s="42"/>
      <c r="P21" s="42"/>
      <c r="Q21" s="42"/>
      <c r="R21" s="42"/>
      <c r="S21" s="42"/>
    </row>
    <row r="22" spans="1:19" ht="13.5" customHeight="1" thickBot="1" x14ac:dyDescent="0.25">
      <c r="A22" s="42"/>
      <c r="B22" s="431"/>
      <c r="C22" s="431"/>
      <c r="D22" s="431"/>
      <c r="E22" s="431"/>
      <c r="F22" s="431"/>
      <c r="G22" s="431"/>
      <c r="H22" s="431"/>
      <c r="I22" s="431"/>
      <c r="J22" s="431"/>
      <c r="K22" s="431"/>
      <c r="L22" s="431"/>
      <c r="M22" s="431"/>
      <c r="N22" s="431"/>
      <c r="O22" s="42"/>
      <c r="P22" s="42"/>
      <c r="Q22" s="42"/>
      <c r="R22" s="42"/>
      <c r="S22" s="42"/>
    </row>
    <row r="23" spans="1:19" x14ac:dyDescent="0.2">
      <c r="A23" s="42"/>
      <c r="B23" s="74">
        <v>1</v>
      </c>
      <c r="C23" s="432" t="s">
        <v>28</v>
      </c>
      <c r="D23" s="433"/>
      <c r="E23" s="434"/>
      <c r="F23" s="435" t="str">
        <f>B19</f>
        <v>Encarregado Diurno 12x36</v>
      </c>
      <c r="G23" s="436"/>
      <c r="H23" s="436"/>
      <c r="I23" s="436"/>
      <c r="J23" s="436"/>
      <c r="K23" s="436"/>
      <c r="L23" s="436"/>
      <c r="M23" s="436"/>
      <c r="N23" s="437"/>
      <c r="O23" s="42"/>
      <c r="P23" s="42"/>
      <c r="Q23" s="42"/>
      <c r="R23" s="42"/>
      <c r="S23" s="42"/>
    </row>
    <row r="24" spans="1:19" x14ac:dyDescent="0.2">
      <c r="A24" s="42"/>
      <c r="B24" s="75">
        <v>2</v>
      </c>
      <c r="C24" s="409" t="s">
        <v>29</v>
      </c>
      <c r="D24" s="410"/>
      <c r="E24" s="411"/>
      <c r="F24" s="412">
        <v>3266.67</v>
      </c>
      <c r="G24" s="413"/>
      <c r="H24" s="413"/>
      <c r="I24" s="413"/>
      <c r="J24" s="413"/>
      <c r="K24" s="413"/>
      <c r="L24" s="413"/>
      <c r="M24" s="413"/>
      <c r="N24" s="414"/>
      <c r="O24" s="42"/>
      <c r="P24" s="42"/>
      <c r="Q24" s="42"/>
      <c r="R24" s="42"/>
      <c r="S24" s="42"/>
    </row>
    <row r="25" spans="1:19" x14ac:dyDescent="0.2">
      <c r="A25" s="42"/>
      <c r="B25" s="75">
        <v>3</v>
      </c>
      <c r="C25" s="409" t="s">
        <v>30</v>
      </c>
      <c r="D25" s="410"/>
      <c r="E25" s="411"/>
      <c r="F25" s="409"/>
      <c r="G25" s="410"/>
      <c r="H25" s="410"/>
      <c r="I25" s="410"/>
      <c r="J25" s="410"/>
      <c r="K25" s="410"/>
      <c r="L25" s="410"/>
      <c r="M25" s="410"/>
      <c r="N25" s="415"/>
      <c r="O25" s="42"/>
      <c r="P25" s="42"/>
      <c r="Q25" s="42"/>
      <c r="R25" s="42"/>
      <c r="S25" s="42"/>
    </row>
    <row r="26" spans="1:19" ht="13.5" thickBot="1" x14ac:dyDescent="0.25">
      <c r="A26" s="42"/>
      <c r="B26" s="76">
        <v>4</v>
      </c>
      <c r="C26" s="416" t="s">
        <v>9</v>
      </c>
      <c r="D26" s="417"/>
      <c r="E26" s="418"/>
      <c r="F26" s="419" t="s">
        <v>293</v>
      </c>
      <c r="G26" s="420"/>
      <c r="H26" s="420"/>
      <c r="I26" s="420"/>
      <c r="J26" s="420"/>
      <c r="K26" s="420"/>
      <c r="L26" s="420"/>
      <c r="M26" s="420"/>
      <c r="N26" s="421"/>
      <c r="O26" s="42"/>
      <c r="P26" s="42"/>
      <c r="Q26" s="42"/>
      <c r="R26" s="42"/>
      <c r="S26" s="42"/>
    </row>
    <row r="27" spans="1:19" ht="13.5" thickBot="1" x14ac:dyDescent="0.25">
      <c r="A27" s="42"/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</row>
    <row r="28" spans="1:19" ht="15.75" thickBot="1" x14ac:dyDescent="0.3">
      <c r="A28" s="42"/>
      <c r="B28" s="369" t="s">
        <v>82</v>
      </c>
      <c r="C28" s="370"/>
      <c r="D28" s="370"/>
      <c r="E28" s="370"/>
      <c r="F28" s="370"/>
      <c r="G28" s="370"/>
      <c r="H28" s="370"/>
      <c r="I28" s="370"/>
      <c r="J28" s="370"/>
      <c r="K28" s="370"/>
      <c r="L28" s="370"/>
      <c r="M28" s="370"/>
      <c r="N28" s="371"/>
      <c r="O28" s="42"/>
      <c r="P28" s="42"/>
      <c r="Q28" s="42"/>
      <c r="R28" s="42"/>
      <c r="S28" s="42"/>
    </row>
    <row r="29" spans="1:19" ht="28.5" customHeight="1" thickBot="1" x14ac:dyDescent="0.3">
      <c r="A29" s="42"/>
      <c r="B29" s="65">
        <v>1</v>
      </c>
      <c r="C29" s="441" t="s">
        <v>57</v>
      </c>
      <c r="D29" s="442"/>
      <c r="E29" s="86"/>
      <c r="F29" s="66" t="s">
        <v>245</v>
      </c>
      <c r="G29" s="86"/>
      <c r="H29" s="202" t="s">
        <v>243</v>
      </c>
      <c r="I29" s="86"/>
      <c r="J29" s="202" t="s">
        <v>242</v>
      </c>
      <c r="K29" s="86"/>
      <c r="L29" s="202" t="s">
        <v>270</v>
      </c>
      <c r="M29" s="86"/>
      <c r="N29" s="202" t="s">
        <v>292</v>
      </c>
      <c r="O29" s="42"/>
      <c r="P29" s="86"/>
      <c r="Q29" s="202" t="s">
        <v>271</v>
      </c>
      <c r="R29" s="42"/>
      <c r="S29" s="42"/>
    </row>
    <row r="30" spans="1:19" x14ac:dyDescent="0.2">
      <c r="A30" s="42"/>
      <c r="B30" s="74" t="s">
        <v>1</v>
      </c>
      <c r="C30" s="443" t="s">
        <v>31</v>
      </c>
      <c r="D30" s="444"/>
      <c r="E30" s="77"/>
      <c r="F30" s="78">
        <v>2630.02</v>
      </c>
      <c r="G30" s="32"/>
      <c r="H30" s="33">
        <v>2708.92</v>
      </c>
      <c r="I30" s="32"/>
      <c r="J30" s="33">
        <v>2939.18</v>
      </c>
      <c r="K30" s="32"/>
      <c r="L30" s="33">
        <v>3111.12</v>
      </c>
      <c r="M30" s="32"/>
      <c r="N30" s="309">
        <f>F24</f>
        <v>3266.67</v>
      </c>
      <c r="O30" s="42"/>
      <c r="P30" s="32"/>
      <c r="Q30" s="33">
        <v>3111.12</v>
      </c>
      <c r="R30" s="42"/>
      <c r="S30" s="42"/>
    </row>
    <row r="31" spans="1:19" x14ac:dyDescent="0.2">
      <c r="A31" s="42"/>
      <c r="B31" s="75" t="s">
        <v>2</v>
      </c>
      <c r="C31" s="409" t="s">
        <v>73</v>
      </c>
      <c r="D31" s="411"/>
      <c r="E31" s="51">
        <v>0.3</v>
      </c>
      <c r="F31" s="35">
        <f>F30*E31</f>
        <v>789.00599999999997</v>
      </c>
      <c r="G31" s="34">
        <v>0.3</v>
      </c>
      <c r="H31" s="35">
        <f>H30*G31</f>
        <v>812.67600000000004</v>
      </c>
      <c r="I31" s="36">
        <v>0.3</v>
      </c>
      <c r="J31" s="37">
        <f>J30*I31</f>
        <v>881.75399999999991</v>
      </c>
      <c r="K31" s="36">
        <v>0.3</v>
      </c>
      <c r="L31" s="37">
        <f>L30*K31</f>
        <v>933.3359999999999</v>
      </c>
      <c r="M31" s="36">
        <v>0.3</v>
      </c>
      <c r="N31" s="37">
        <f>N30*M31</f>
        <v>980.00099999999998</v>
      </c>
      <c r="O31" s="42"/>
      <c r="P31" s="36">
        <v>0.3</v>
      </c>
      <c r="Q31" s="37">
        <f>Q30*P31</f>
        <v>933.3359999999999</v>
      </c>
      <c r="R31" s="42"/>
      <c r="S31" s="42"/>
    </row>
    <row r="32" spans="1:19" x14ac:dyDescent="0.2">
      <c r="A32" s="42"/>
      <c r="B32" s="75" t="s">
        <v>4</v>
      </c>
      <c r="C32" s="409" t="s">
        <v>74</v>
      </c>
      <c r="D32" s="411"/>
      <c r="E32" s="51"/>
      <c r="F32" s="35"/>
      <c r="G32" s="34"/>
      <c r="H32" s="35"/>
      <c r="I32" s="36"/>
      <c r="J32" s="38"/>
      <c r="K32" s="36"/>
      <c r="L32" s="38"/>
      <c r="M32" s="36"/>
      <c r="N32" s="38"/>
      <c r="O32" s="42"/>
      <c r="P32" s="36"/>
      <c r="Q32" s="38"/>
      <c r="R32" s="42"/>
      <c r="S32" s="42"/>
    </row>
    <row r="33" spans="1:19" x14ac:dyDescent="0.2">
      <c r="A33" s="42"/>
      <c r="B33" s="75" t="s">
        <v>5</v>
      </c>
      <c r="C33" s="409" t="s">
        <v>10</v>
      </c>
      <c r="D33" s="411"/>
      <c r="E33" s="141"/>
      <c r="F33" s="35"/>
      <c r="G33" s="39"/>
      <c r="H33" s="37"/>
      <c r="I33" s="39"/>
      <c r="J33" s="38"/>
      <c r="K33" s="39"/>
      <c r="L33" s="38"/>
      <c r="M33" s="39"/>
      <c r="N33" s="38"/>
      <c r="O33" s="42"/>
      <c r="P33" s="39"/>
      <c r="Q33" s="38"/>
      <c r="R33" s="42"/>
      <c r="S33" s="42"/>
    </row>
    <row r="34" spans="1:19" x14ac:dyDescent="0.2">
      <c r="A34" s="42"/>
      <c r="B34" s="75" t="s">
        <v>6</v>
      </c>
      <c r="C34" s="409" t="s">
        <v>80</v>
      </c>
      <c r="D34" s="411"/>
      <c r="E34" s="141"/>
      <c r="F34" s="35"/>
      <c r="G34" s="39"/>
      <c r="H34" s="37"/>
      <c r="I34" s="39"/>
      <c r="J34" s="38"/>
      <c r="K34" s="39"/>
      <c r="L34" s="38"/>
      <c r="M34" s="39"/>
      <c r="N34" s="38"/>
      <c r="O34" s="42"/>
      <c r="P34" s="39"/>
      <c r="Q34" s="38"/>
      <c r="R34" s="42"/>
      <c r="S34" s="42"/>
    </row>
    <row r="35" spans="1:19" x14ac:dyDescent="0.2">
      <c r="A35" s="42"/>
      <c r="B35" s="75" t="s">
        <v>7</v>
      </c>
      <c r="C35" s="409" t="s">
        <v>81</v>
      </c>
      <c r="D35" s="411"/>
      <c r="E35" s="35"/>
      <c r="F35" s="35"/>
      <c r="G35" s="37"/>
      <c r="H35" s="37"/>
      <c r="I35" s="39"/>
      <c r="J35" s="38"/>
      <c r="K35" s="39"/>
      <c r="L35" s="38"/>
      <c r="M35" s="39"/>
      <c r="N35" s="38"/>
      <c r="O35" s="42"/>
      <c r="P35" s="39"/>
      <c r="Q35" s="38"/>
      <c r="R35" s="42"/>
      <c r="S35" s="42"/>
    </row>
    <row r="36" spans="1:19" ht="13.5" thickBot="1" x14ac:dyDescent="0.25">
      <c r="A36" s="42"/>
      <c r="B36" s="76" t="s">
        <v>12</v>
      </c>
      <c r="C36" s="416" t="s">
        <v>11</v>
      </c>
      <c r="D36" s="418"/>
      <c r="E36" s="40"/>
      <c r="F36" s="40"/>
      <c r="G36" s="40"/>
      <c r="H36" s="40"/>
      <c r="I36" s="40"/>
      <c r="J36" s="45"/>
      <c r="K36" s="40"/>
      <c r="L36" s="45"/>
      <c r="M36" s="40"/>
      <c r="N36" s="45"/>
      <c r="O36" s="42"/>
      <c r="P36" s="40"/>
      <c r="Q36" s="45"/>
      <c r="R36" s="42"/>
      <c r="S36" s="42"/>
    </row>
    <row r="37" spans="1:19" ht="15.75" thickBot="1" x14ac:dyDescent="0.3">
      <c r="A37" s="42"/>
      <c r="B37" s="41"/>
      <c r="C37" s="438" t="s">
        <v>40</v>
      </c>
      <c r="D37" s="439"/>
      <c r="E37" s="440"/>
      <c r="F37" s="13">
        <f>ROUND(SUM(F30:F36),2)</f>
        <v>3419.03</v>
      </c>
      <c r="G37" s="41"/>
      <c r="H37" s="13">
        <f>ROUND(SUM(H30:H36),2)</f>
        <v>3521.6</v>
      </c>
      <c r="I37" s="41"/>
      <c r="J37" s="5">
        <f>ROUND(SUM(J30:J36),2)</f>
        <v>3820.93</v>
      </c>
      <c r="K37" s="41"/>
      <c r="L37" s="5">
        <f>ROUND(SUM(L30:L36),2)</f>
        <v>4044.46</v>
      </c>
      <c r="M37" s="41"/>
      <c r="N37" s="5">
        <f>ROUND(SUM(N30:N36),2)</f>
        <v>4246.67</v>
      </c>
      <c r="O37" s="42"/>
      <c r="P37" s="41"/>
      <c r="Q37" s="5">
        <f>ROUND(SUM(Q30:Q36),2)</f>
        <v>4044.46</v>
      </c>
      <c r="R37" s="42"/>
      <c r="S37" s="42"/>
    </row>
    <row r="38" spans="1:19" ht="13.5" thickBot="1" x14ac:dyDescent="0.25">
      <c r="A38" s="42"/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</row>
    <row r="39" spans="1:19" ht="15.75" thickBot="1" x14ac:dyDescent="0.3">
      <c r="A39" s="42"/>
      <c r="B39" s="369" t="s">
        <v>83</v>
      </c>
      <c r="C39" s="370"/>
      <c r="D39" s="370"/>
      <c r="E39" s="370"/>
      <c r="F39" s="370"/>
      <c r="G39" s="370"/>
      <c r="H39" s="370"/>
      <c r="I39" s="370"/>
      <c r="J39" s="370"/>
      <c r="K39" s="370"/>
      <c r="L39" s="370"/>
      <c r="M39" s="370"/>
      <c r="N39" s="371"/>
      <c r="O39" s="42"/>
      <c r="P39" s="42"/>
      <c r="Q39" s="42"/>
      <c r="R39" s="42"/>
      <c r="S39" s="42"/>
    </row>
    <row r="40" spans="1:19" ht="15.75" thickBot="1" x14ac:dyDescent="0.3">
      <c r="A40" s="42"/>
      <c r="B40" s="369" t="s">
        <v>85</v>
      </c>
      <c r="C40" s="370"/>
      <c r="D40" s="370"/>
      <c r="E40" s="370"/>
      <c r="F40" s="370"/>
      <c r="G40" s="370"/>
      <c r="H40" s="370"/>
      <c r="I40" s="370"/>
      <c r="J40" s="370"/>
      <c r="K40" s="370"/>
      <c r="L40" s="370"/>
      <c r="M40" s="370"/>
      <c r="N40" s="371"/>
      <c r="O40" s="42"/>
      <c r="P40" s="42"/>
      <c r="Q40" s="42"/>
      <c r="R40" s="42"/>
      <c r="S40" s="42"/>
    </row>
    <row r="41" spans="1:19" ht="15.75" thickBot="1" x14ac:dyDescent="0.3">
      <c r="A41" s="42"/>
      <c r="B41" s="94" t="s">
        <v>84</v>
      </c>
      <c r="C41" s="441" t="s">
        <v>86</v>
      </c>
      <c r="D41" s="442"/>
      <c r="E41" s="447"/>
      <c r="F41" s="66" t="s">
        <v>77</v>
      </c>
      <c r="G41" s="86"/>
      <c r="H41" s="66" t="s">
        <v>78</v>
      </c>
      <c r="I41" s="86"/>
      <c r="J41" s="66" t="s">
        <v>79</v>
      </c>
      <c r="K41" s="86"/>
      <c r="L41" s="66" t="s">
        <v>79</v>
      </c>
      <c r="M41" s="86"/>
      <c r="N41" s="66" t="s">
        <v>79</v>
      </c>
      <c r="O41" s="42"/>
      <c r="P41" s="86"/>
      <c r="Q41" s="66" t="s">
        <v>79</v>
      </c>
      <c r="R41" s="42"/>
      <c r="S41" s="42"/>
    </row>
    <row r="42" spans="1:19" x14ac:dyDescent="0.2">
      <c r="A42" s="42"/>
      <c r="B42" s="70" t="s">
        <v>1</v>
      </c>
      <c r="C42" s="432" t="s">
        <v>87</v>
      </c>
      <c r="D42" s="445"/>
      <c r="E42" s="88">
        <f>ROUND(1/12,4)</f>
        <v>8.3299999999999999E-2</v>
      </c>
      <c r="F42" s="43">
        <f>E42*F37</f>
        <v>284.80519900000002</v>
      </c>
      <c r="G42" s="88">
        <f>ROUND(1/12,4)</f>
        <v>8.3299999999999999E-2</v>
      </c>
      <c r="H42" s="43">
        <f>G42*H37</f>
        <v>293.34927999999996</v>
      </c>
      <c r="I42" s="88">
        <f>ROUND(1/12,4)</f>
        <v>8.3299999999999999E-2</v>
      </c>
      <c r="J42" s="44">
        <f>I42*J37</f>
        <v>318.28346899999997</v>
      </c>
      <c r="K42" s="88">
        <f>ROUND(1/12,4)</f>
        <v>8.3299999999999999E-2</v>
      </c>
      <c r="L42" s="44">
        <f>K42*L37</f>
        <v>336.90351800000002</v>
      </c>
      <c r="M42" s="88">
        <f>ROUND(1/12,4)</f>
        <v>8.3299999999999999E-2</v>
      </c>
      <c r="N42" s="44">
        <f>M42*N37</f>
        <v>353.74761100000001</v>
      </c>
      <c r="O42" s="42"/>
      <c r="P42" s="88">
        <v>0</v>
      </c>
      <c r="Q42" s="44">
        <f>P42*Q37</f>
        <v>0</v>
      </c>
      <c r="R42" s="42"/>
      <c r="S42" s="42"/>
    </row>
    <row r="43" spans="1:19" ht="13.5" thickBot="1" x14ac:dyDescent="0.25">
      <c r="A43" s="42"/>
      <c r="B43" s="71" t="s">
        <v>2</v>
      </c>
      <c r="C43" s="409" t="s">
        <v>88</v>
      </c>
      <c r="D43" s="415"/>
      <c r="E43" s="89">
        <f>ROUND(1/11+1/11*1/3,3)</f>
        <v>0.121</v>
      </c>
      <c r="F43" s="35">
        <f>E43*F37</f>
        <v>413.70263</v>
      </c>
      <c r="G43" s="89">
        <f>ROUND(1/11+1/11*1/3,3)</f>
        <v>0.121</v>
      </c>
      <c r="H43" s="35">
        <f>G43*H37</f>
        <v>426.11359999999996</v>
      </c>
      <c r="I43" s="89">
        <f>ROUND(1/11+1/11*1/3,3)</f>
        <v>0.121</v>
      </c>
      <c r="J43" s="35">
        <f>I43*J37</f>
        <v>462.33252999999996</v>
      </c>
      <c r="K43" s="89">
        <f>ROUND(1/11+1/11*1/3,3)</f>
        <v>0.121</v>
      </c>
      <c r="L43" s="35">
        <f>K43*L37</f>
        <v>489.37966</v>
      </c>
      <c r="M43" s="89">
        <f>ROUND(1/11+1/11*1/3,3)</f>
        <v>0.121</v>
      </c>
      <c r="N43" s="35">
        <f>M43*N37</f>
        <v>513.84707000000003</v>
      </c>
      <c r="O43" s="42"/>
      <c r="P43" s="89">
        <v>0</v>
      </c>
      <c r="Q43" s="35">
        <f>P43*Q37</f>
        <v>0</v>
      </c>
      <c r="R43" s="42"/>
      <c r="S43" s="42"/>
    </row>
    <row r="44" spans="1:19" ht="13.5" customHeight="1" thickBot="1" x14ac:dyDescent="0.25">
      <c r="A44" s="42"/>
      <c r="B44" s="448" t="s">
        <v>16</v>
      </c>
      <c r="C44" s="449"/>
      <c r="D44" s="450"/>
      <c r="E44" s="90">
        <f>E42+E43</f>
        <v>0.20429999999999998</v>
      </c>
      <c r="F44" s="11">
        <f>SUM(F42:F43)</f>
        <v>698.50782900000002</v>
      </c>
      <c r="G44" s="90">
        <f>G42+G43</f>
        <v>0.20429999999999998</v>
      </c>
      <c r="H44" s="11">
        <f>SUM(H42:H43)</f>
        <v>719.46287999999993</v>
      </c>
      <c r="I44" s="90">
        <f>I42+I43</f>
        <v>0.20429999999999998</v>
      </c>
      <c r="J44" s="11">
        <f>SUM(J42:J43)</f>
        <v>780.61599899999987</v>
      </c>
      <c r="K44" s="90">
        <f>K42+K43</f>
        <v>0.20429999999999998</v>
      </c>
      <c r="L44" s="11">
        <f>SUM(L42:L43)</f>
        <v>826.28317800000002</v>
      </c>
      <c r="M44" s="90">
        <f>M42+M43</f>
        <v>0.20429999999999998</v>
      </c>
      <c r="N44" s="11">
        <f>SUM(N42:N43)</f>
        <v>867.59468100000004</v>
      </c>
      <c r="O44" s="42"/>
      <c r="P44" s="90">
        <f>P42+P43</f>
        <v>0</v>
      </c>
      <c r="Q44" s="11">
        <f>SUM(Q42:Q43)</f>
        <v>0</v>
      </c>
      <c r="R44" s="42"/>
      <c r="S44" s="42"/>
    </row>
    <row r="45" spans="1:19" ht="13.5" thickBot="1" x14ac:dyDescent="0.25">
      <c r="A45" s="42"/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</row>
    <row r="46" spans="1:19" ht="15.75" thickBot="1" x14ac:dyDescent="0.3">
      <c r="A46" s="42"/>
      <c r="B46" s="369" t="s">
        <v>89</v>
      </c>
      <c r="C46" s="370"/>
      <c r="D46" s="370"/>
      <c r="E46" s="370"/>
      <c r="F46" s="370"/>
      <c r="G46" s="370"/>
      <c r="H46" s="370"/>
      <c r="I46" s="370"/>
      <c r="J46" s="370"/>
      <c r="K46" s="370"/>
      <c r="L46" s="370"/>
      <c r="M46" s="370"/>
      <c r="N46" s="371"/>
      <c r="O46" s="42"/>
      <c r="P46" s="42"/>
      <c r="Q46" s="42"/>
      <c r="R46" s="42"/>
      <c r="S46" s="42"/>
    </row>
    <row r="47" spans="1:19" ht="15.75" thickBot="1" x14ac:dyDescent="0.3">
      <c r="A47" s="42"/>
      <c r="B47" s="65" t="s">
        <v>90</v>
      </c>
      <c r="C47" s="369" t="s">
        <v>91</v>
      </c>
      <c r="D47" s="371"/>
      <c r="E47" s="7"/>
      <c r="F47" s="66" t="s">
        <v>77</v>
      </c>
      <c r="G47" s="86"/>
      <c r="H47" s="66" t="s">
        <v>78</v>
      </c>
      <c r="I47" s="86"/>
      <c r="J47" s="66" t="s">
        <v>79</v>
      </c>
      <c r="K47" s="86"/>
      <c r="L47" s="66" t="s">
        <v>79</v>
      </c>
      <c r="M47" s="86"/>
      <c r="N47" s="66" t="s">
        <v>79</v>
      </c>
      <c r="O47" s="42"/>
      <c r="P47" s="86"/>
      <c r="Q47" s="66" t="s">
        <v>79</v>
      </c>
      <c r="R47" s="42"/>
      <c r="S47" s="42"/>
    </row>
    <row r="48" spans="1:19" x14ac:dyDescent="0.2">
      <c r="A48" s="42"/>
      <c r="B48" s="70" t="s">
        <v>1</v>
      </c>
      <c r="C48" s="432" t="s">
        <v>41</v>
      </c>
      <c r="D48" s="445"/>
      <c r="E48" s="49">
        <v>0.2</v>
      </c>
      <c r="F48" s="61">
        <f>E48*($F$37+$F$44)</f>
        <v>823.50756580000007</v>
      </c>
      <c r="G48" s="49">
        <v>0.2</v>
      </c>
      <c r="H48" s="46">
        <f>G48*($H$37+$H$44)</f>
        <v>848.2125759999999</v>
      </c>
      <c r="I48" s="49">
        <v>0.2</v>
      </c>
      <c r="J48" s="46">
        <f>I48*(J37+J44)</f>
        <v>920.30919979999999</v>
      </c>
      <c r="K48" s="49">
        <v>0.2</v>
      </c>
      <c r="L48" s="46">
        <f>K48*(L37+L44)</f>
        <v>974.14863560000003</v>
      </c>
      <c r="M48" s="49">
        <v>0.2</v>
      </c>
      <c r="N48" s="46">
        <f>M48*(N37+N44)</f>
        <v>1022.8529362000002</v>
      </c>
      <c r="O48" s="42"/>
      <c r="P48" s="49">
        <v>0.2</v>
      </c>
      <c r="Q48" s="46">
        <f>P48*(Q37+Q44)</f>
        <v>808.89200000000005</v>
      </c>
      <c r="R48" s="42"/>
      <c r="S48" s="42"/>
    </row>
    <row r="49" spans="1:19" x14ac:dyDescent="0.2">
      <c r="A49" s="42"/>
      <c r="B49" s="71" t="s">
        <v>2</v>
      </c>
      <c r="C49" s="409" t="s">
        <v>92</v>
      </c>
      <c r="D49" s="415"/>
      <c r="E49" s="51">
        <v>2.5000000000000001E-2</v>
      </c>
      <c r="F49" s="54">
        <f t="shared" ref="F49:F55" si="0">E49*($F$37+$F$44)</f>
        <v>102.93844572500001</v>
      </c>
      <c r="G49" s="51">
        <v>2.5000000000000001E-2</v>
      </c>
      <c r="H49" s="55">
        <f t="shared" ref="H49:H55" si="1">G49*($H$37+$H$44)</f>
        <v>106.02657199999999</v>
      </c>
      <c r="I49" s="51">
        <v>2.5000000000000001E-2</v>
      </c>
      <c r="J49" s="59">
        <f>I49*(J37+J44)</f>
        <v>115.038649975</v>
      </c>
      <c r="K49" s="51">
        <v>2.5000000000000001E-2</v>
      </c>
      <c r="L49" s="59">
        <f>K49*(L37+L44)</f>
        <v>121.76857945</v>
      </c>
      <c r="M49" s="51">
        <v>2.5000000000000001E-2</v>
      </c>
      <c r="N49" s="59">
        <f>M49*(N37+N44)</f>
        <v>127.85661702500002</v>
      </c>
      <c r="O49" s="42"/>
      <c r="P49" s="51">
        <v>2.5000000000000001E-2</v>
      </c>
      <c r="Q49" s="59">
        <f>P49*(Q37+Q44)</f>
        <v>101.11150000000001</v>
      </c>
      <c r="R49" s="42"/>
      <c r="S49" s="42"/>
    </row>
    <row r="50" spans="1:19" x14ac:dyDescent="0.2">
      <c r="A50" s="42"/>
      <c r="B50" s="71" t="s">
        <v>4</v>
      </c>
      <c r="C50" s="409" t="s">
        <v>93</v>
      </c>
      <c r="D50" s="415"/>
      <c r="E50" s="51">
        <f>3%*0.5</f>
        <v>1.4999999999999999E-2</v>
      </c>
      <c r="F50" s="54">
        <f t="shared" si="0"/>
        <v>61.763067434999996</v>
      </c>
      <c r="G50" s="51">
        <f>3%*0.5</f>
        <v>1.4999999999999999E-2</v>
      </c>
      <c r="H50" s="81">
        <f t="shared" si="1"/>
        <v>63.61594319999999</v>
      </c>
      <c r="I50" s="51">
        <f>3%*0.5</f>
        <v>1.4999999999999999E-2</v>
      </c>
      <c r="J50" s="59">
        <f>I50*(J37+J44)</f>
        <v>69.023189985000002</v>
      </c>
      <c r="K50" s="51">
        <f>3%*0.5</f>
        <v>1.4999999999999999E-2</v>
      </c>
      <c r="L50" s="59">
        <f>K50*(L37+L44)</f>
        <v>73.061147669999997</v>
      </c>
      <c r="M50" s="51">
        <f>3%*0.5</f>
        <v>1.4999999999999999E-2</v>
      </c>
      <c r="N50" s="59">
        <f>M50*(N37+N44)</f>
        <v>76.713970215000003</v>
      </c>
      <c r="O50" s="42"/>
      <c r="P50" s="51">
        <f>3%*0.5</f>
        <v>1.4999999999999999E-2</v>
      </c>
      <c r="Q50" s="59">
        <f>P50*(Q37+Q44)</f>
        <v>60.666899999999998</v>
      </c>
      <c r="R50" s="42"/>
      <c r="S50" s="42"/>
    </row>
    <row r="51" spans="1:19" x14ac:dyDescent="0.2">
      <c r="A51" s="42"/>
      <c r="B51" s="71" t="s">
        <v>5</v>
      </c>
      <c r="C51" s="409" t="s">
        <v>94</v>
      </c>
      <c r="D51" s="415"/>
      <c r="E51" s="51">
        <v>1.4999999999999999E-2</v>
      </c>
      <c r="F51" s="54">
        <f t="shared" si="0"/>
        <v>61.763067434999996</v>
      </c>
      <c r="G51" s="51">
        <v>1.4999999999999999E-2</v>
      </c>
      <c r="H51" s="52">
        <f t="shared" si="1"/>
        <v>63.61594319999999</v>
      </c>
      <c r="I51" s="51">
        <v>1.4999999999999999E-2</v>
      </c>
      <c r="J51" s="82">
        <f>I51*(J37+J44)</f>
        <v>69.023189985000002</v>
      </c>
      <c r="K51" s="51">
        <v>1.4999999999999999E-2</v>
      </c>
      <c r="L51" s="82">
        <f>K51*(L37+L44)</f>
        <v>73.061147669999997</v>
      </c>
      <c r="M51" s="51">
        <v>1.4999999999999999E-2</v>
      </c>
      <c r="N51" s="82">
        <f>M51*(N37+N44)</f>
        <v>76.713970215000003</v>
      </c>
      <c r="O51" s="42"/>
      <c r="P51" s="51">
        <v>1.4999999999999999E-2</v>
      </c>
      <c r="Q51" s="82">
        <f>P51*(Q37+Q44)</f>
        <v>60.666899999999998</v>
      </c>
      <c r="R51" s="42"/>
      <c r="S51" s="42"/>
    </row>
    <row r="52" spans="1:19" x14ac:dyDescent="0.2">
      <c r="A52" s="42"/>
      <c r="B52" s="71" t="s">
        <v>6</v>
      </c>
      <c r="C52" s="409" t="s">
        <v>95</v>
      </c>
      <c r="D52" s="415"/>
      <c r="E52" s="51">
        <v>0.01</v>
      </c>
      <c r="F52" s="52">
        <f t="shared" si="0"/>
        <v>41.175378289999998</v>
      </c>
      <c r="G52" s="51">
        <v>0.01</v>
      </c>
      <c r="H52" s="55">
        <f t="shared" si="1"/>
        <v>42.410628799999998</v>
      </c>
      <c r="I52" s="51">
        <v>0.01</v>
      </c>
      <c r="J52" s="62">
        <f>I52*(J37+J44)</f>
        <v>46.015459990000004</v>
      </c>
      <c r="K52" s="51">
        <v>0.01</v>
      </c>
      <c r="L52" s="62">
        <f>K52*(L37+L44)</f>
        <v>48.70743178</v>
      </c>
      <c r="M52" s="51">
        <v>0.01</v>
      </c>
      <c r="N52" s="62">
        <f>M52*(N37+N44)</f>
        <v>51.142646810000009</v>
      </c>
      <c r="O52" s="42"/>
      <c r="P52" s="51">
        <v>0.01</v>
      </c>
      <c r="Q52" s="62">
        <f>P52*(Q37+Q44)</f>
        <v>40.444600000000001</v>
      </c>
      <c r="R52" s="42"/>
      <c r="S52" s="42"/>
    </row>
    <row r="53" spans="1:19" x14ac:dyDescent="0.2">
      <c r="A53" s="42"/>
      <c r="B53" s="80" t="s">
        <v>7</v>
      </c>
      <c r="C53" s="378" t="s">
        <v>44</v>
      </c>
      <c r="D53" s="446"/>
      <c r="E53" s="53">
        <v>6.0000000000000001E-3</v>
      </c>
      <c r="F53" s="82">
        <f t="shared" si="0"/>
        <v>24.705226973999999</v>
      </c>
      <c r="G53" s="53">
        <v>6.0000000000000001E-3</v>
      </c>
      <c r="H53" s="81">
        <f t="shared" si="1"/>
        <v>25.446377279999997</v>
      </c>
      <c r="I53" s="53">
        <v>6.0000000000000001E-3</v>
      </c>
      <c r="J53" s="59">
        <f>I53*(J37+J44)</f>
        <v>27.609275994000001</v>
      </c>
      <c r="K53" s="53">
        <v>6.0000000000000001E-3</v>
      </c>
      <c r="L53" s="59">
        <f>K53*(L37+L44)</f>
        <v>29.224459067999998</v>
      </c>
      <c r="M53" s="53">
        <v>6.0000000000000001E-3</v>
      </c>
      <c r="N53" s="59">
        <f>M53*(N37+N44)</f>
        <v>30.685588086000003</v>
      </c>
      <c r="O53" s="42"/>
      <c r="P53" s="53">
        <v>6.0000000000000001E-3</v>
      </c>
      <c r="Q53" s="59">
        <f>P53*(Q37+Q44)</f>
        <v>24.266760000000001</v>
      </c>
      <c r="R53" s="42"/>
      <c r="S53" s="42"/>
    </row>
    <row r="54" spans="1:19" x14ac:dyDescent="0.2">
      <c r="A54" s="42"/>
      <c r="B54" s="80" t="s">
        <v>8</v>
      </c>
      <c r="C54" s="378" t="s">
        <v>42</v>
      </c>
      <c r="D54" s="446"/>
      <c r="E54" s="53">
        <v>2E-3</v>
      </c>
      <c r="F54" s="52">
        <f t="shared" si="0"/>
        <v>8.2350756579999995</v>
      </c>
      <c r="G54" s="53">
        <v>2E-3</v>
      </c>
      <c r="H54" s="52">
        <f t="shared" si="1"/>
        <v>8.4821257599999988</v>
      </c>
      <c r="I54" s="53">
        <v>2E-3</v>
      </c>
      <c r="J54" s="59">
        <f>I54*(J37+J44)</f>
        <v>9.2030919979999997</v>
      </c>
      <c r="K54" s="53">
        <v>2E-3</v>
      </c>
      <c r="L54" s="59">
        <f>K54*(L37+L44)</f>
        <v>9.7414863559999993</v>
      </c>
      <c r="M54" s="53">
        <v>2E-3</v>
      </c>
      <c r="N54" s="59">
        <f>M54*(N37+N44)</f>
        <v>10.228529362000002</v>
      </c>
      <c r="O54" s="42"/>
      <c r="P54" s="53">
        <v>2E-3</v>
      </c>
      <c r="Q54" s="59">
        <f>P54*(Q37+Q44)</f>
        <v>8.0889199999999999</v>
      </c>
      <c r="R54" s="42"/>
      <c r="S54" s="42"/>
    </row>
    <row r="55" spans="1:19" ht="13.5" thickBot="1" x14ac:dyDescent="0.25">
      <c r="A55" s="42"/>
      <c r="B55" s="80" t="s">
        <v>12</v>
      </c>
      <c r="C55" s="383" t="s">
        <v>43</v>
      </c>
      <c r="D55" s="451"/>
      <c r="E55" s="53">
        <v>0.08</v>
      </c>
      <c r="F55" s="59">
        <f t="shared" si="0"/>
        <v>329.40302631999998</v>
      </c>
      <c r="G55" s="53">
        <v>0.08</v>
      </c>
      <c r="H55" s="55">
        <f t="shared" si="1"/>
        <v>339.28503039999998</v>
      </c>
      <c r="I55" s="53">
        <v>0.08</v>
      </c>
      <c r="J55" s="59">
        <f>I55*(J37+J44)</f>
        <v>368.12367992000003</v>
      </c>
      <c r="K55" s="53">
        <v>0.08</v>
      </c>
      <c r="L55" s="59">
        <f>K55*(L37+L44)</f>
        <v>389.65945424</v>
      </c>
      <c r="M55" s="53">
        <v>0.08</v>
      </c>
      <c r="N55" s="59">
        <f>M55*(N37+N44)</f>
        <v>409.14117448000007</v>
      </c>
      <c r="O55" s="42"/>
      <c r="P55" s="53">
        <v>0.08</v>
      </c>
      <c r="Q55" s="59">
        <f>P55*(Q37+Q44)</f>
        <v>323.55680000000001</v>
      </c>
      <c r="R55" s="42"/>
      <c r="S55" s="42"/>
    </row>
    <row r="56" spans="1:19" ht="13.5" customHeight="1" thickBot="1" x14ac:dyDescent="0.3">
      <c r="A56" s="42"/>
      <c r="B56" s="369" t="s">
        <v>16</v>
      </c>
      <c r="C56" s="370"/>
      <c r="D56" s="371"/>
      <c r="E56" s="90">
        <f t="shared" ref="E56:N56" si="2">SUM(E48:E55)</f>
        <v>0.35300000000000004</v>
      </c>
      <c r="F56" s="5">
        <f t="shared" si="2"/>
        <v>1453.4908536370001</v>
      </c>
      <c r="G56" s="90">
        <f t="shared" si="2"/>
        <v>0.35300000000000004</v>
      </c>
      <c r="H56" s="5">
        <f t="shared" si="2"/>
        <v>1497.0951966399998</v>
      </c>
      <c r="I56" s="90">
        <f>SUM(I48:I55)</f>
        <v>0.35300000000000004</v>
      </c>
      <c r="J56" s="5">
        <f>SUM(J48:J55)</f>
        <v>1624.3457376470001</v>
      </c>
      <c r="K56" s="90">
        <f t="shared" ref="K56:L56" si="3">SUM(K48:K55)</f>
        <v>0.35300000000000004</v>
      </c>
      <c r="L56" s="5">
        <f t="shared" si="3"/>
        <v>1719.3723418340003</v>
      </c>
      <c r="M56" s="90">
        <f t="shared" si="2"/>
        <v>0.35300000000000004</v>
      </c>
      <c r="N56" s="5">
        <f t="shared" si="2"/>
        <v>1805.3354323930005</v>
      </c>
      <c r="O56" s="42"/>
      <c r="P56" s="90">
        <f>SUM(P48:P55)</f>
        <v>0.35300000000000004</v>
      </c>
      <c r="Q56" s="5">
        <f>SUM(Q48:Q55)</f>
        <v>1427.6943799999999</v>
      </c>
      <c r="R56" s="42"/>
      <c r="S56" s="42"/>
    </row>
    <row r="57" spans="1:19" ht="13.5" thickBot="1" x14ac:dyDescent="0.25">
      <c r="A57" s="42"/>
      <c r="B57" s="42"/>
      <c r="C57" s="42"/>
      <c r="D57" s="42"/>
      <c r="E57" s="42"/>
      <c r="F57" s="83"/>
      <c r="G57" s="42"/>
      <c r="H57" s="79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</row>
    <row r="58" spans="1:19" ht="15.75" thickBot="1" x14ac:dyDescent="0.3">
      <c r="A58" s="42"/>
      <c r="B58" s="369" t="s">
        <v>96</v>
      </c>
      <c r="C58" s="370"/>
      <c r="D58" s="370"/>
      <c r="E58" s="370"/>
      <c r="F58" s="370"/>
      <c r="G58" s="370"/>
      <c r="H58" s="370"/>
      <c r="I58" s="370"/>
      <c r="J58" s="370"/>
      <c r="K58" s="370"/>
      <c r="L58" s="370"/>
      <c r="M58" s="370"/>
      <c r="N58" s="371"/>
      <c r="O58" s="42"/>
      <c r="P58" s="42"/>
      <c r="Q58" s="42"/>
      <c r="R58" s="42"/>
      <c r="S58" s="42"/>
    </row>
    <row r="59" spans="1:19" ht="15.75" thickBot="1" x14ac:dyDescent="0.3">
      <c r="A59" s="42"/>
      <c r="B59" s="65" t="s">
        <v>97</v>
      </c>
      <c r="C59" s="441" t="s">
        <v>58</v>
      </c>
      <c r="D59" s="447"/>
      <c r="E59" s="91"/>
      <c r="F59" s="66" t="s">
        <v>77</v>
      </c>
      <c r="G59" s="86"/>
      <c r="H59" s="66" t="s">
        <v>78</v>
      </c>
      <c r="I59" s="86"/>
      <c r="J59" s="66" t="s">
        <v>79</v>
      </c>
      <c r="K59" s="86"/>
      <c r="L59" s="66" t="s">
        <v>79</v>
      </c>
      <c r="M59" s="86"/>
      <c r="N59" s="66" t="s">
        <v>79</v>
      </c>
      <c r="O59" s="42"/>
      <c r="P59" s="86"/>
      <c r="Q59" s="66" t="s">
        <v>79</v>
      </c>
      <c r="R59" s="42"/>
      <c r="S59" s="42"/>
    </row>
    <row r="60" spans="1:19" x14ac:dyDescent="0.2">
      <c r="A60" s="42"/>
      <c r="B60" s="70" t="s">
        <v>1</v>
      </c>
      <c r="C60" s="432" t="s">
        <v>36</v>
      </c>
      <c r="D60" s="445"/>
      <c r="E60" s="92">
        <v>5.5</v>
      </c>
      <c r="F60" s="50">
        <f>E60*15*2-(6%*F30)</f>
        <v>7.1988000000000056</v>
      </c>
      <c r="G60" s="92">
        <v>5.5</v>
      </c>
      <c r="H60" s="50">
        <f>G60*15*2-(6%*H30)</f>
        <v>2.4647999999999968</v>
      </c>
      <c r="I60" s="92">
        <v>5.5</v>
      </c>
      <c r="J60" s="46">
        <f>I60*15*2-(6%*J30)</f>
        <v>-11.350799999999992</v>
      </c>
      <c r="K60" s="92">
        <v>5.5</v>
      </c>
      <c r="L60" s="46">
        <f>K60*15*2-(6%*L30)</f>
        <v>-21.66719999999998</v>
      </c>
      <c r="M60" s="92">
        <v>5.5</v>
      </c>
      <c r="N60" s="46">
        <f>(M60*15*2-(6%*N30))*0</f>
        <v>0</v>
      </c>
      <c r="O60" s="42"/>
      <c r="P60" s="92">
        <v>5.5</v>
      </c>
      <c r="Q60" s="46">
        <f>P60*15*2-(6%*Q30)</f>
        <v>-21.66719999999998</v>
      </c>
      <c r="R60" s="42"/>
      <c r="S60" s="42"/>
    </row>
    <row r="61" spans="1:19" x14ac:dyDescent="0.2">
      <c r="A61" s="42"/>
      <c r="B61" s="71" t="s">
        <v>2</v>
      </c>
      <c r="C61" s="409" t="s">
        <v>98</v>
      </c>
      <c r="D61" s="415"/>
      <c r="E61" s="93">
        <v>37.5</v>
      </c>
      <c r="F61" s="52">
        <f>E61*15</f>
        <v>562.5</v>
      </c>
      <c r="G61" s="93">
        <v>39.29</v>
      </c>
      <c r="H61" s="52">
        <f>G61*15</f>
        <v>589.35</v>
      </c>
      <c r="I61" s="93">
        <v>42.63</v>
      </c>
      <c r="J61" s="52">
        <f>I61*15</f>
        <v>639.45000000000005</v>
      </c>
      <c r="K61" s="93">
        <v>45.12</v>
      </c>
      <c r="L61" s="52">
        <f>K61*15</f>
        <v>676.8</v>
      </c>
      <c r="M61" s="310">
        <v>47.37</v>
      </c>
      <c r="N61" s="52">
        <f>M61*15</f>
        <v>710.55</v>
      </c>
      <c r="O61" s="42"/>
      <c r="P61" s="93">
        <v>45.12</v>
      </c>
      <c r="Q61" s="52">
        <f>P61*15</f>
        <v>676.8</v>
      </c>
      <c r="R61" s="42"/>
      <c r="S61" s="42"/>
    </row>
    <row r="62" spans="1:19" x14ac:dyDescent="0.2">
      <c r="A62" s="42"/>
      <c r="B62" s="71" t="s">
        <v>159</v>
      </c>
      <c r="C62" s="409" t="s">
        <v>160</v>
      </c>
      <c r="D62" s="415"/>
      <c r="E62" s="93">
        <f>E61*0.02</f>
        <v>0.75</v>
      </c>
      <c r="F62" s="52">
        <f>E62*-15</f>
        <v>-11.25</v>
      </c>
      <c r="G62" s="93">
        <f>G61*0.02</f>
        <v>0.78580000000000005</v>
      </c>
      <c r="H62" s="52">
        <f>G62*-15</f>
        <v>-11.787000000000001</v>
      </c>
      <c r="I62" s="93">
        <f>I61*0.02</f>
        <v>0.85260000000000002</v>
      </c>
      <c r="J62" s="52">
        <f>I62*-15</f>
        <v>-12.789</v>
      </c>
      <c r="K62" s="93">
        <f>K61*0.02</f>
        <v>0.90239999999999998</v>
      </c>
      <c r="L62" s="52">
        <f>K62*-15</f>
        <v>-13.536</v>
      </c>
      <c r="M62" s="93">
        <f>M61*0.02</f>
        <v>0.94740000000000002</v>
      </c>
      <c r="N62" s="52">
        <f>M62*-15</f>
        <v>-14.211</v>
      </c>
      <c r="O62" s="42"/>
      <c r="P62" s="93">
        <f>P61*0.02</f>
        <v>0.90239999999999998</v>
      </c>
      <c r="Q62" s="52">
        <f>P62*-15</f>
        <v>-13.536</v>
      </c>
      <c r="R62" s="42"/>
      <c r="S62" s="42"/>
    </row>
    <row r="63" spans="1:19" ht="13.5" thickBot="1" x14ac:dyDescent="0.25">
      <c r="A63" s="42"/>
      <c r="B63" s="71" t="s">
        <v>4</v>
      </c>
      <c r="C63" s="409" t="s">
        <v>161</v>
      </c>
      <c r="D63" s="415"/>
      <c r="E63" s="93"/>
      <c r="F63" s="52">
        <v>10.9</v>
      </c>
      <c r="G63" s="93"/>
      <c r="H63" s="52">
        <v>10.9</v>
      </c>
      <c r="I63" s="93"/>
      <c r="J63" s="52">
        <v>10.9</v>
      </c>
      <c r="K63" s="93"/>
      <c r="L63" s="52">
        <v>10.9</v>
      </c>
      <c r="M63" s="93"/>
      <c r="N63" s="52">
        <v>10.9</v>
      </c>
      <c r="O63" s="42"/>
      <c r="P63" s="93"/>
      <c r="Q63" s="52">
        <v>10.9</v>
      </c>
      <c r="R63" s="42"/>
      <c r="S63" s="42"/>
    </row>
    <row r="64" spans="1:19" ht="15.75" thickBot="1" x14ac:dyDescent="0.3">
      <c r="A64" s="42"/>
      <c r="B64" s="369" t="s">
        <v>16</v>
      </c>
      <c r="C64" s="370"/>
      <c r="D64" s="370"/>
      <c r="E64" s="371"/>
      <c r="F64" s="5">
        <f>SUM(F60:F63)</f>
        <v>569.34879999999998</v>
      </c>
      <c r="G64" s="8"/>
      <c r="H64" s="5">
        <f>SUM(H60:H63)</f>
        <v>590.92779999999993</v>
      </c>
      <c r="I64" s="8"/>
      <c r="J64" s="5">
        <f>SUM(J60:J63)</f>
        <v>626.2102000000001</v>
      </c>
      <c r="K64" s="8"/>
      <c r="L64" s="5">
        <f>SUM(L60:L63)</f>
        <v>652.49680000000001</v>
      </c>
      <c r="M64" s="8"/>
      <c r="N64" s="5">
        <f>SUM(N60:N63)</f>
        <v>707.23899999999992</v>
      </c>
      <c r="O64" s="42"/>
      <c r="P64" s="8"/>
      <c r="Q64" s="5">
        <f>SUM(Q60:Q63)</f>
        <v>652.49680000000001</v>
      </c>
      <c r="R64" s="42"/>
      <c r="S64" s="42"/>
    </row>
    <row r="65" spans="1:19" ht="13.5" thickBot="1" x14ac:dyDescent="0.25">
      <c r="A65" s="42"/>
      <c r="B65" s="142"/>
      <c r="C65" s="9"/>
      <c r="D65" s="9"/>
      <c r="E65" s="9"/>
      <c r="F65" s="9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</row>
    <row r="66" spans="1:19" ht="15.75" thickBot="1" x14ac:dyDescent="0.3">
      <c r="A66" s="73"/>
      <c r="B66" s="369" t="s">
        <v>99</v>
      </c>
      <c r="C66" s="370"/>
      <c r="D66" s="370"/>
      <c r="E66" s="370"/>
      <c r="F66" s="370"/>
      <c r="G66" s="370"/>
      <c r="H66" s="370"/>
      <c r="I66" s="370"/>
      <c r="J66" s="370"/>
      <c r="K66" s="370"/>
      <c r="L66" s="370"/>
      <c r="M66" s="370"/>
      <c r="N66" s="371"/>
      <c r="O66" s="42"/>
      <c r="P66" s="42"/>
      <c r="Q66" s="42"/>
      <c r="R66" s="42"/>
      <c r="S66" s="42"/>
    </row>
    <row r="67" spans="1:19" ht="15.75" thickBot="1" x14ac:dyDescent="0.3">
      <c r="A67" s="42"/>
      <c r="B67" s="65">
        <v>2</v>
      </c>
      <c r="C67" s="441" t="s">
        <v>100</v>
      </c>
      <c r="D67" s="447"/>
      <c r="E67" s="134" t="s">
        <v>13</v>
      </c>
      <c r="F67" s="4" t="s">
        <v>35</v>
      </c>
      <c r="G67" s="137" t="s">
        <v>13</v>
      </c>
      <c r="H67" s="4" t="s">
        <v>35</v>
      </c>
      <c r="I67" s="137" t="s">
        <v>13</v>
      </c>
      <c r="J67" s="4" t="s">
        <v>35</v>
      </c>
      <c r="K67" s="137" t="s">
        <v>13</v>
      </c>
      <c r="L67" s="4" t="s">
        <v>35</v>
      </c>
      <c r="M67" s="137" t="s">
        <v>13</v>
      </c>
      <c r="N67" s="4" t="s">
        <v>35</v>
      </c>
      <c r="O67" s="42"/>
      <c r="P67" s="137" t="s">
        <v>13</v>
      </c>
      <c r="Q67" s="4" t="s">
        <v>35</v>
      </c>
      <c r="R67" s="42"/>
      <c r="S67" s="42"/>
    </row>
    <row r="68" spans="1:19" x14ac:dyDescent="0.2">
      <c r="A68" s="42"/>
      <c r="B68" s="70" t="s">
        <v>1</v>
      </c>
      <c r="C68" s="432" t="s">
        <v>86</v>
      </c>
      <c r="D68" s="445"/>
      <c r="E68" s="49">
        <f>E44</f>
        <v>0.20429999999999998</v>
      </c>
      <c r="F68" s="55">
        <f>F44</f>
        <v>698.50782900000002</v>
      </c>
      <c r="G68" s="49"/>
      <c r="H68" s="55">
        <f>H44</f>
        <v>719.46287999999993</v>
      </c>
      <c r="I68" s="49"/>
      <c r="J68" s="55">
        <f>J44</f>
        <v>780.61599899999987</v>
      </c>
      <c r="K68" s="49"/>
      <c r="L68" s="55">
        <f>L44</f>
        <v>826.28317800000002</v>
      </c>
      <c r="M68" s="49"/>
      <c r="N68" s="55">
        <f>N44</f>
        <v>867.59468100000004</v>
      </c>
      <c r="O68" s="42"/>
      <c r="P68" s="49"/>
      <c r="Q68" s="55">
        <f>Q44</f>
        <v>0</v>
      </c>
      <c r="R68" s="42"/>
      <c r="S68" s="42"/>
    </row>
    <row r="69" spans="1:19" x14ac:dyDescent="0.2">
      <c r="A69" s="42"/>
      <c r="B69" s="71" t="s">
        <v>2</v>
      </c>
      <c r="C69" s="409" t="s">
        <v>91</v>
      </c>
      <c r="D69" s="415"/>
      <c r="E69" s="51">
        <f>E56</f>
        <v>0.35300000000000004</v>
      </c>
      <c r="F69" s="52">
        <f>F56</f>
        <v>1453.4908536370001</v>
      </c>
      <c r="G69" s="51"/>
      <c r="H69" s="52">
        <f>H56</f>
        <v>1497.0951966399998</v>
      </c>
      <c r="I69" s="51"/>
      <c r="J69" s="52">
        <f>J56</f>
        <v>1624.3457376470001</v>
      </c>
      <c r="K69" s="51"/>
      <c r="L69" s="52">
        <f>L56</f>
        <v>1719.3723418340003</v>
      </c>
      <c r="M69" s="51"/>
      <c r="N69" s="52">
        <f>N56</f>
        <v>1805.3354323930005</v>
      </c>
      <c r="O69" s="42"/>
      <c r="P69" s="51"/>
      <c r="Q69" s="52">
        <f>Q56</f>
        <v>1427.6943799999999</v>
      </c>
      <c r="R69" s="42"/>
      <c r="S69" s="42"/>
    </row>
    <row r="70" spans="1:19" ht="13.5" thickBot="1" x14ac:dyDescent="0.25">
      <c r="A70" s="42"/>
      <c r="B70" s="71" t="s">
        <v>4</v>
      </c>
      <c r="C70" s="452" t="s">
        <v>58</v>
      </c>
      <c r="D70" s="453"/>
      <c r="E70" s="51"/>
      <c r="F70" s="52">
        <f>F64</f>
        <v>569.34879999999998</v>
      </c>
      <c r="G70" s="51"/>
      <c r="H70" s="52">
        <f>H64</f>
        <v>590.92779999999993</v>
      </c>
      <c r="I70" s="51"/>
      <c r="J70" s="52">
        <f>J64</f>
        <v>626.2102000000001</v>
      </c>
      <c r="K70" s="51"/>
      <c r="L70" s="52">
        <f>L64</f>
        <v>652.49680000000001</v>
      </c>
      <c r="M70" s="51"/>
      <c r="N70" s="52">
        <f>N64</f>
        <v>707.23899999999992</v>
      </c>
      <c r="O70" s="42"/>
      <c r="P70" s="51"/>
      <c r="Q70" s="52">
        <f>Q64</f>
        <v>652.49680000000001</v>
      </c>
      <c r="R70" s="42"/>
      <c r="S70" s="42"/>
    </row>
    <row r="71" spans="1:19" ht="15.75" thickBot="1" x14ac:dyDescent="0.3">
      <c r="A71" s="42"/>
      <c r="B71" s="369" t="s">
        <v>16</v>
      </c>
      <c r="C71" s="370"/>
      <c r="D71" s="370"/>
      <c r="E71" s="146">
        <f>SUM(E68:E70)</f>
        <v>0.55730000000000002</v>
      </c>
      <c r="F71" s="5">
        <f>SUM(F68:F70)</f>
        <v>2721.3474826370002</v>
      </c>
      <c r="G71" s="56"/>
      <c r="H71" s="5">
        <f>SUM(H68:H70)</f>
        <v>2807.4858766399998</v>
      </c>
      <c r="I71" s="56"/>
      <c r="J71" s="5">
        <f>SUM(J68:J70)</f>
        <v>3031.1719366470002</v>
      </c>
      <c r="K71" s="56"/>
      <c r="L71" s="5">
        <f>SUM(L68:L70)</f>
        <v>3198.1523198340001</v>
      </c>
      <c r="M71" s="56"/>
      <c r="N71" s="5">
        <f>SUM(N68:N70)</f>
        <v>3380.1691133930003</v>
      </c>
      <c r="O71" s="42"/>
      <c r="P71" s="56"/>
      <c r="Q71" s="5">
        <f>SUM(Q68:Q70)</f>
        <v>2080.1911799999998</v>
      </c>
      <c r="R71" s="42"/>
      <c r="S71" s="42"/>
    </row>
    <row r="72" spans="1:19" ht="15.75" thickBot="1" x14ac:dyDescent="0.3">
      <c r="A72" s="42"/>
      <c r="B72" s="135"/>
      <c r="C72" s="135"/>
      <c r="D72" s="135"/>
      <c r="E72" s="87"/>
      <c r="F72" s="25"/>
      <c r="G72" s="42"/>
      <c r="H72" s="25"/>
      <c r="I72" s="42"/>
      <c r="J72" s="25"/>
      <c r="K72" s="42"/>
      <c r="L72" s="25"/>
      <c r="M72" s="42"/>
      <c r="N72" s="25"/>
      <c r="O72" s="42"/>
      <c r="P72" s="42"/>
      <c r="Q72" s="25"/>
      <c r="R72" s="42"/>
      <c r="S72" s="42"/>
    </row>
    <row r="73" spans="1:19" ht="15.75" thickBot="1" x14ac:dyDescent="0.3">
      <c r="A73" s="42"/>
      <c r="B73" s="369" t="s">
        <v>101</v>
      </c>
      <c r="C73" s="370"/>
      <c r="D73" s="370"/>
      <c r="E73" s="370"/>
      <c r="F73" s="370"/>
      <c r="G73" s="370"/>
      <c r="H73" s="370"/>
      <c r="I73" s="370"/>
      <c r="J73" s="370"/>
      <c r="K73" s="370"/>
      <c r="L73" s="370"/>
      <c r="M73" s="370"/>
      <c r="N73" s="371"/>
      <c r="O73" s="42"/>
      <c r="P73" s="42"/>
      <c r="Q73" s="42"/>
      <c r="R73" s="42"/>
      <c r="S73" s="42"/>
    </row>
    <row r="74" spans="1:19" ht="15.75" thickBot="1" x14ac:dyDescent="0.3">
      <c r="A74" s="42"/>
      <c r="B74" s="65">
        <v>3</v>
      </c>
      <c r="C74" s="441" t="s">
        <v>45</v>
      </c>
      <c r="D74" s="447"/>
      <c r="E74" s="134" t="s">
        <v>13</v>
      </c>
      <c r="F74" s="136" t="s">
        <v>35</v>
      </c>
      <c r="G74" s="4" t="s">
        <v>13</v>
      </c>
      <c r="H74" s="4" t="s">
        <v>35</v>
      </c>
      <c r="I74" s="4" t="s">
        <v>13</v>
      </c>
      <c r="J74" s="138" t="s">
        <v>35</v>
      </c>
      <c r="K74" s="4" t="s">
        <v>13</v>
      </c>
      <c r="L74" s="138" t="s">
        <v>35</v>
      </c>
      <c r="M74" s="4" t="s">
        <v>13</v>
      </c>
      <c r="N74" s="138" t="s">
        <v>35</v>
      </c>
      <c r="O74" s="42"/>
      <c r="P74" s="4" t="s">
        <v>13</v>
      </c>
      <c r="Q74" s="138" t="s">
        <v>35</v>
      </c>
      <c r="R74" s="42"/>
      <c r="S74" s="42"/>
    </row>
    <row r="75" spans="1:19" x14ac:dyDescent="0.2">
      <c r="A75" s="42"/>
      <c r="B75" s="70" t="s">
        <v>1</v>
      </c>
      <c r="C75" s="432" t="s">
        <v>104</v>
      </c>
      <c r="D75" s="445"/>
      <c r="E75" s="132">
        <f>1/12*0.01</f>
        <v>8.3333333333333328E-4</v>
      </c>
      <c r="F75" s="59">
        <f t="shared" ref="F75:F80" si="4">$F$37*E75</f>
        <v>2.8491916666666666</v>
      </c>
      <c r="G75" s="132">
        <f>1/12*0.01*3/30</f>
        <v>8.3333333333333317E-5</v>
      </c>
      <c r="H75" s="59">
        <f t="shared" ref="H75:H80" si="5">$H$37*G75</f>
        <v>0.2934666666666666</v>
      </c>
      <c r="I75" s="132">
        <f>1/12*0.01*3/30</f>
        <v>8.3333333333333317E-5</v>
      </c>
      <c r="J75" s="55">
        <f>J37*I75</f>
        <v>0.31841083333333325</v>
      </c>
      <c r="K75" s="132">
        <f>1/12*0.01*3/30</f>
        <v>8.3333333333333317E-5</v>
      </c>
      <c r="L75" s="55">
        <f>L37*K75</f>
        <v>0.33703833333333327</v>
      </c>
      <c r="M75" s="132">
        <f>1/12*0.01*3/30</f>
        <v>8.3333333333333317E-5</v>
      </c>
      <c r="N75" s="55">
        <f>N37*M75</f>
        <v>0.35388916666666659</v>
      </c>
      <c r="O75" s="42"/>
      <c r="P75" s="132">
        <v>0</v>
      </c>
      <c r="Q75" s="55">
        <f>Q37*P75</f>
        <v>0</v>
      </c>
      <c r="R75" s="42"/>
      <c r="S75" s="42"/>
    </row>
    <row r="76" spans="1:19" x14ac:dyDescent="0.2">
      <c r="A76" s="42"/>
      <c r="B76" s="71" t="s">
        <v>2</v>
      </c>
      <c r="C76" s="409" t="s">
        <v>67</v>
      </c>
      <c r="D76" s="415"/>
      <c r="E76" s="123">
        <f>E75*E55</f>
        <v>6.666666666666667E-5</v>
      </c>
      <c r="F76" s="59">
        <f t="shared" si="4"/>
        <v>0.22793533333333335</v>
      </c>
      <c r="G76" s="123">
        <f>G75*G55</f>
        <v>6.6666666666666658E-6</v>
      </c>
      <c r="H76" s="59">
        <f t="shared" si="5"/>
        <v>2.3477333333333329E-2</v>
      </c>
      <c r="I76" s="123">
        <f>I75*I55</f>
        <v>6.6666666666666658E-6</v>
      </c>
      <c r="J76" s="52">
        <f>J37*I76</f>
        <v>2.5472866666666663E-2</v>
      </c>
      <c r="K76" s="123">
        <f>K75*K55</f>
        <v>6.6666666666666658E-6</v>
      </c>
      <c r="L76" s="52">
        <f>L37*K76</f>
        <v>2.6963066666666664E-2</v>
      </c>
      <c r="M76" s="123">
        <f>M75*M55</f>
        <v>6.6666666666666658E-6</v>
      </c>
      <c r="N76" s="52">
        <f>N37*M76</f>
        <v>2.8311133333333328E-2</v>
      </c>
      <c r="O76" s="42"/>
      <c r="P76" s="123">
        <v>0</v>
      </c>
      <c r="Q76" s="52">
        <f>Q37*P76</f>
        <v>0</v>
      </c>
      <c r="R76" s="42"/>
      <c r="S76" s="42"/>
    </row>
    <row r="77" spans="1:19" x14ac:dyDescent="0.2">
      <c r="A77" s="42"/>
      <c r="B77" s="71" t="s">
        <v>4</v>
      </c>
      <c r="C77" s="409" t="s">
        <v>162</v>
      </c>
      <c r="D77" s="415"/>
      <c r="E77" s="51">
        <f>0.08*0.4*0.95</f>
        <v>3.04E-2</v>
      </c>
      <c r="F77" s="59">
        <f t="shared" si="4"/>
        <v>103.938512</v>
      </c>
      <c r="G77" s="51">
        <f>0.08*0.4*0.95</f>
        <v>3.04E-2</v>
      </c>
      <c r="H77" s="59">
        <f t="shared" si="5"/>
        <v>107.05664</v>
      </c>
      <c r="I77" s="51">
        <f>0.08*0.4*0.95</f>
        <v>3.04E-2</v>
      </c>
      <c r="J77" s="52">
        <f>J37*I77</f>
        <v>116.156272</v>
      </c>
      <c r="K77" s="51">
        <f>0.08*0.4*0.95</f>
        <v>3.04E-2</v>
      </c>
      <c r="L77" s="52">
        <f>L37*K77</f>
        <v>122.951584</v>
      </c>
      <c r="M77" s="51">
        <f>0.08*0.4*0.95</f>
        <v>3.04E-2</v>
      </c>
      <c r="N77" s="52">
        <f>N37*M77</f>
        <v>129.09876800000001</v>
      </c>
      <c r="O77" s="42"/>
      <c r="P77" s="51">
        <v>0</v>
      </c>
      <c r="Q77" s="52">
        <f>Q37*P77</f>
        <v>0</v>
      </c>
      <c r="R77" s="42"/>
      <c r="S77" s="42"/>
    </row>
    <row r="78" spans="1:19" x14ac:dyDescent="0.2">
      <c r="A78" s="42"/>
      <c r="B78" s="71" t="s">
        <v>5</v>
      </c>
      <c r="C78" s="409" t="s">
        <v>102</v>
      </c>
      <c r="D78" s="415"/>
      <c r="E78" s="102">
        <f>7/30/12*0.01</f>
        <v>1.9444444444444446E-4</v>
      </c>
      <c r="F78" s="59">
        <f t="shared" si="4"/>
        <v>0.66481138888888902</v>
      </c>
      <c r="G78" s="102">
        <f>7/30/12*0.01*3/30</f>
        <v>1.9444444444444445E-5</v>
      </c>
      <c r="H78" s="59">
        <f t="shared" si="5"/>
        <v>6.8475555555555553E-2</v>
      </c>
      <c r="I78" s="102">
        <f>7/30/12*0.01*3/30</f>
        <v>1.9444444444444445E-5</v>
      </c>
      <c r="J78" s="52">
        <f>J37*I78</f>
        <v>7.4295861111111111E-2</v>
      </c>
      <c r="K78" s="102">
        <f>7/30/12*0.01*3/30</f>
        <v>1.9444444444444445E-5</v>
      </c>
      <c r="L78" s="52">
        <f>L37*K78</f>
        <v>7.8642277777777783E-2</v>
      </c>
      <c r="M78" s="102">
        <f>7/30/12*0.01*3/30</f>
        <v>1.9444444444444445E-5</v>
      </c>
      <c r="N78" s="52">
        <f>N37*M78</f>
        <v>8.2574138888888898E-2</v>
      </c>
      <c r="O78" s="42"/>
      <c r="P78" s="102">
        <v>0</v>
      </c>
      <c r="Q78" s="52">
        <f>Q37*P78</f>
        <v>0</v>
      </c>
      <c r="R78" s="42"/>
      <c r="S78" s="42"/>
    </row>
    <row r="79" spans="1:19" x14ac:dyDescent="0.2">
      <c r="A79" s="42"/>
      <c r="B79" s="71" t="s">
        <v>6</v>
      </c>
      <c r="C79" s="409" t="s">
        <v>103</v>
      </c>
      <c r="D79" s="415"/>
      <c r="E79" s="123">
        <f>E78*E56</f>
        <v>6.8638888888888902E-5</v>
      </c>
      <c r="F79" s="59">
        <f t="shared" si="4"/>
        <v>0.23467842027777783</v>
      </c>
      <c r="G79" s="123">
        <f>G78*G56</f>
        <v>6.8638888888888899E-6</v>
      </c>
      <c r="H79" s="59">
        <f t="shared" si="5"/>
        <v>2.4171871111111114E-2</v>
      </c>
      <c r="I79" s="123">
        <f>I78*I56</f>
        <v>6.8638888888888899E-6</v>
      </c>
      <c r="J79" s="52">
        <f>J37*I79</f>
        <v>2.6226438972222224E-2</v>
      </c>
      <c r="K79" s="123">
        <f>K78*K56</f>
        <v>6.8638888888888899E-6</v>
      </c>
      <c r="L79" s="52">
        <f>L37*K79</f>
        <v>2.7760724055555561E-2</v>
      </c>
      <c r="M79" s="123">
        <f>M78*M56</f>
        <v>6.8638888888888899E-6</v>
      </c>
      <c r="N79" s="52">
        <f>N37*M79</f>
        <v>2.9148671027777781E-2</v>
      </c>
      <c r="O79" s="42"/>
      <c r="P79" s="123">
        <f>P78*P56</f>
        <v>0</v>
      </c>
      <c r="Q79" s="52">
        <f>Q37*P79</f>
        <v>0</v>
      </c>
      <c r="R79" s="42"/>
      <c r="S79" s="42"/>
    </row>
    <row r="80" spans="1:19" ht="13.5" thickBot="1" x14ac:dyDescent="0.25">
      <c r="A80" s="42"/>
      <c r="B80" s="80" t="s">
        <v>7</v>
      </c>
      <c r="C80" s="378" t="s">
        <v>163</v>
      </c>
      <c r="D80" s="446"/>
      <c r="E80" s="144">
        <f>E78*0.4</f>
        <v>7.7777777777777795E-5</v>
      </c>
      <c r="F80" s="82">
        <f t="shared" si="4"/>
        <v>0.26592455555555561</v>
      </c>
      <c r="G80" s="144">
        <f>G78*0.4</f>
        <v>7.7777777777777792E-6</v>
      </c>
      <c r="H80" s="59">
        <f t="shared" si="5"/>
        <v>2.7390222222222226E-2</v>
      </c>
      <c r="I80" s="144">
        <f>I78*0.4</f>
        <v>7.7777777777777792E-6</v>
      </c>
      <c r="J80" s="52">
        <f>J37*I80</f>
        <v>2.9718344444444447E-2</v>
      </c>
      <c r="K80" s="144">
        <f>K78*0.4</f>
        <v>7.7777777777777792E-6</v>
      </c>
      <c r="L80" s="52">
        <f>L37*K80</f>
        <v>3.1456911111111117E-2</v>
      </c>
      <c r="M80" s="144">
        <f>M78*0.4</f>
        <v>7.7777777777777792E-6</v>
      </c>
      <c r="N80" s="52">
        <f>N37*M80</f>
        <v>3.3029655555555565E-2</v>
      </c>
      <c r="O80" s="42"/>
      <c r="P80" s="144">
        <f>P78*0.4</f>
        <v>0</v>
      </c>
      <c r="Q80" s="52">
        <f>Q37*P80</f>
        <v>0</v>
      </c>
      <c r="R80" s="42"/>
      <c r="S80" s="42"/>
    </row>
    <row r="81" spans="1:19" ht="15.75" thickBot="1" x14ac:dyDescent="0.3">
      <c r="A81" s="42"/>
      <c r="B81" s="369" t="s">
        <v>16</v>
      </c>
      <c r="C81" s="370"/>
      <c r="D81" s="370"/>
      <c r="E81" s="146">
        <f>SUM(E75:E80)</f>
        <v>3.1640861111111113E-2</v>
      </c>
      <c r="F81" s="5">
        <f>SUM(F75:F80)</f>
        <v>108.18105336472223</v>
      </c>
      <c r="G81" s="60"/>
      <c r="H81" s="13">
        <f>SUM(H75:H80)</f>
        <v>107.49362164888889</v>
      </c>
      <c r="I81" s="41"/>
      <c r="J81" s="5">
        <f>SUM(J75:J80)</f>
        <v>116.63039634452778</v>
      </c>
      <c r="K81" s="41"/>
      <c r="L81" s="5">
        <f>SUM(L75:L80)</f>
        <v>123.45344531294444</v>
      </c>
      <c r="M81" s="41"/>
      <c r="N81" s="5">
        <f>SUM(N75:N80)</f>
        <v>129.62572076547224</v>
      </c>
      <c r="O81" s="42"/>
      <c r="P81" s="41"/>
      <c r="Q81" s="5">
        <f>SUM(Q75:Q80)</f>
        <v>0</v>
      </c>
      <c r="R81" s="42"/>
      <c r="S81" s="42"/>
    </row>
    <row r="82" spans="1:19" ht="15.75" thickBot="1" x14ac:dyDescent="0.3">
      <c r="A82" s="42"/>
      <c r="B82" s="135"/>
      <c r="C82" s="135"/>
      <c r="D82" s="135"/>
      <c r="E82" s="135"/>
      <c r="F82" s="25"/>
      <c r="G82" s="42"/>
      <c r="H82" s="25"/>
      <c r="I82" s="42"/>
      <c r="J82" s="25"/>
      <c r="K82" s="42"/>
      <c r="L82" s="25"/>
      <c r="M82" s="42"/>
      <c r="N82" s="25"/>
      <c r="O82" s="42"/>
      <c r="P82" s="42"/>
      <c r="Q82" s="25"/>
      <c r="R82" s="42"/>
      <c r="S82" s="42"/>
    </row>
    <row r="83" spans="1:19" ht="15.75" thickBot="1" x14ac:dyDescent="0.3">
      <c r="A83" s="42"/>
      <c r="B83" s="369" t="s">
        <v>105</v>
      </c>
      <c r="C83" s="370"/>
      <c r="D83" s="370"/>
      <c r="E83" s="370"/>
      <c r="F83" s="370"/>
      <c r="G83" s="370"/>
      <c r="H83" s="370"/>
      <c r="I83" s="370"/>
      <c r="J83" s="370"/>
      <c r="K83" s="370"/>
      <c r="L83" s="370"/>
      <c r="M83" s="370"/>
      <c r="N83" s="371"/>
      <c r="O83" s="42"/>
      <c r="P83" s="42"/>
      <c r="Q83" s="42"/>
      <c r="R83" s="42"/>
      <c r="S83" s="42"/>
    </row>
    <row r="84" spans="1:19" ht="15.75" thickBot="1" x14ac:dyDescent="0.3">
      <c r="A84" s="42"/>
      <c r="B84" s="369" t="s">
        <v>106</v>
      </c>
      <c r="C84" s="370"/>
      <c r="D84" s="370"/>
      <c r="E84" s="370"/>
      <c r="F84" s="370"/>
      <c r="G84" s="370"/>
      <c r="H84" s="370"/>
      <c r="I84" s="370"/>
      <c r="J84" s="370"/>
      <c r="K84" s="370"/>
      <c r="L84" s="370"/>
      <c r="M84" s="370"/>
      <c r="N84" s="371"/>
      <c r="O84" s="42"/>
      <c r="P84" s="42"/>
      <c r="Q84" s="42"/>
      <c r="R84" s="42"/>
      <c r="S84" s="42"/>
    </row>
    <row r="85" spans="1:19" ht="15.75" thickBot="1" x14ac:dyDescent="0.25">
      <c r="A85" s="42"/>
      <c r="B85" s="139" t="s">
        <v>48</v>
      </c>
      <c r="C85" s="441" t="s">
        <v>46</v>
      </c>
      <c r="D85" s="447"/>
      <c r="E85" s="28" t="s">
        <v>13</v>
      </c>
      <c r="F85" s="30" t="s">
        <v>35</v>
      </c>
      <c r="G85" s="95" t="s">
        <v>13</v>
      </c>
      <c r="H85" s="95" t="s">
        <v>35</v>
      </c>
      <c r="I85" s="95" t="s">
        <v>13</v>
      </c>
      <c r="J85" s="31" t="s">
        <v>35</v>
      </c>
      <c r="K85" s="95" t="s">
        <v>13</v>
      </c>
      <c r="L85" s="31" t="s">
        <v>35</v>
      </c>
      <c r="M85" s="95" t="s">
        <v>13</v>
      </c>
      <c r="N85" s="31" t="s">
        <v>35</v>
      </c>
      <c r="O85" s="42"/>
      <c r="P85" s="95" t="s">
        <v>13</v>
      </c>
      <c r="Q85" s="31" t="s">
        <v>35</v>
      </c>
      <c r="R85" s="42"/>
      <c r="S85" s="42"/>
    </row>
    <row r="86" spans="1:19" x14ac:dyDescent="0.2">
      <c r="A86" s="42"/>
      <c r="B86" s="70" t="s">
        <v>1</v>
      </c>
      <c r="C86" s="432" t="s">
        <v>164</v>
      </c>
      <c r="D86" s="445"/>
      <c r="E86" s="88">
        <f>ROUND((1/12+1/12*1/3)/12,4)</f>
        <v>9.2999999999999992E-3</v>
      </c>
      <c r="F86" s="46">
        <f>$F$37*E86</f>
        <v>31.796979</v>
      </c>
      <c r="G86" s="88">
        <f>ROUND((1/12+1/12*1/3)/12,4)</f>
        <v>9.2999999999999992E-3</v>
      </c>
      <c r="H86" s="61">
        <f>$H$37*G86</f>
        <v>32.750879999999995</v>
      </c>
      <c r="I86" s="88">
        <f>ROUND((1/12+1/12*1/3)/12,4)</f>
        <v>9.2999999999999992E-3</v>
      </c>
      <c r="J86" s="46">
        <f>J37*I86</f>
        <v>35.534648999999995</v>
      </c>
      <c r="K86" s="88">
        <f>ROUND((1/12+1/12*1/3)/12,4)</f>
        <v>9.2999999999999992E-3</v>
      </c>
      <c r="L86" s="46">
        <f>L37*K86</f>
        <v>37.613478000000001</v>
      </c>
      <c r="M86" s="88">
        <f>ROUND((1/12+1/12*1/3)/12,4)</f>
        <v>9.2999999999999992E-3</v>
      </c>
      <c r="N86" s="46">
        <f>N37*M86</f>
        <v>39.494031</v>
      </c>
      <c r="O86" s="42"/>
      <c r="P86" s="88">
        <v>0</v>
      </c>
      <c r="Q86" s="46">
        <f>Q37*P86</f>
        <v>0</v>
      </c>
      <c r="R86" s="42"/>
      <c r="S86" s="42"/>
    </row>
    <row r="87" spans="1:19" x14ac:dyDescent="0.2">
      <c r="A87" s="42"/>
      <c r="B87" s="71" t="s">
        <v>2</v>
      </c>
      <c r="C87" s="409" t="s">
        <v>165</v>
      </c>
      <c r="D87" s="415"/>
      <c r="E87" s="123">
        <f>((2.96/30)/12)*3%</f>
        <v>2.4666666666666668E-4</v>
      </c>
      <c r="F87" s="82">
        <f>$F$37*E87</f>
        <v>0.84336073333333339</v>
      </c>
      <c r="G87" s="123">
        <f>((2.96/30)/12)*3%</f>
        <v>2.4666666666666668E-4</v>
      </c>
      <c r="H87" s="52">
        <f>$H$37*G87</f>
        <v>0.8686613333333334</v>
      </c>
      <c r="I87" s="123">
        <f>((2.96/30)/12)*3%</f>
        <v>2.4666666666666668E-4</v>
      </c>
      <c r="J87" s="52">
        <f>J37*I87</f>
        <v>0.94249606666666663</v>
      </c>
      <c r="K87" s="123">
        <f>((2.96/30)/12)*3%</f>
        <v>2.4666666666666668E-4</v>
      </c>
      <c r="L87" s="52">
        <f>L37*K87</f>
        <v>0.99763346666666675</v>
      </c>
      <c r="M87" s="123">
        <f>((2.96/30)/12)*3%</f>
        <v>2.4666666666666668E-4</v>
      </c>
      <c r="N87" s="52">
        <f>N37*M87</f>
        <v>1.0475119333333334</v>
      </c>
      <c r="O87" s="42"/>
      <c r="P87" s="123">
        <v>0</v>
      </c>
      <c r="Q87" s="52">
        <f>Q37*P87</f>
        <v>0</v>
      </c>
      <c r="R87" s="42"/>
      <c r="S87" s="42"/>
    </row>
    <row r="88" spans="1:19" x14ac:dyDescent="0.2">
      <c r="A88" s="42"/>
      <c r="B88" s="71" t="s">
        <v>4</v>
      </c>
      <c r="C88" s="409" t="s">
        <v>166</v>
      </c>
      <c r="D88" s="415"/>
      <c r="E88" s="51">
        <f>ROUND(5/30/12*1.5%,4)</f>
        <v>2.0000000000000001E-4</v>
      </c>
      <c r="F88" s="52">
        <f>$F$37*E88</f>
        <v>0.68380600000000002</v>
      </c>
      <c r="G88" s="51">
        <f>ROUND(5/30/12*1.5%,4)</f>
        <v>2.0000000000000001E-4</v>
      </c>
      <c r="H88" s="52">
        <f>$H$37*G88</f>
        <v>0.70432000000000006</v>
      </c>
      <c r="I88" s="51">
        <f>ROUND(5/30/12*1.5%,4)</f>
        <v>2.0000000000000001E-4</v>
      </c>
      <c r="J88" s="52">
        <f>J37*I88</f>
        <v>0.76418600000000003</v>
      </c>
      <c r="K88" s="51">
        <f>ROUND(5/30/12*1.5%,4)</f>
        <v>2.0000000000000001E-4</v>
      </c>
      <c r="L88" s="52">
        <f>L37*K88</f>
        <v>0.80889200000000006</v>
      </c>
      <c r="M88" s="51">
        <f>ROUND(5/30/12*1.5%,4)</f>
        <v>2.0000000000000001E-4</v>
      </c>
      <c r="N88" s="52">
        <f>N37*M88</f>
        <v>0.84933400000000003</v>
      </c>
      <c r="O88" s="42"/>
      <c r="P88" s="51">
        <v>0</v>
      </c>
      <c r="Q88" s="52">
        <f>Q37*P88</f>
        <v>0</v>
      </c>
      <c r="R88" s="42"/>
      <c r="S88" s="42"/>
    </row>
    <row r="89" spans="1:19" x14ac:dyDescent="0.2">
      <c r="A89" s="42"/>
      <c r="B89" s="71" t="s">
        <v>5</v>
      </c>
      <c r="C89" s="454" t="s">
        <v>167</v>
      </c>
      <c r="D89" s="455"/>
      <c r="E89" s="34">
        <f>ROUND(15/30/12*0.01,4)</f>
        <v>4.0000000000000002E-4</v>
      </c>
      <c r="F89" s="84">
        <f>$F$37*E89</f>
        <v>1.367612</v>
      </c>
      <c r="G89" s="34">
        <f>ROUND(15/30/12*0.01,4)</f>
        <v>4.0000000000000002E-4</v>
      </c>
      <c r="H89" s="52">
        <f>$H$37*G89</f>
        <v>1.4086400000000001</v>
      </c>
      <c r="I89" s="34">
        <f>ROUND(15/30/12*0.01,4)</f>
        <v>4.0000000000000002E-4</v>
      </c>
      <c r="J89" s="52">
        <f>J37*I89</f>
        <v>1.5283720000000001</v>
      </c>
      <c r="K89" s="34">
        <f>ROUND(15/30/12*0.01,4)</f>
        <v>4.0000000000000002E-4</v>
      </c>
      <c r="L89" s="52">
        <f>L37*K89</f>
        <v>1.6177840000000001</v>
      </c>
      <c r="M89" s="34">
        <f>ROUND(15/30/12*0.01,4)</f>
        <v>4.0000000000000002E-4</v>
      </c>
      <c r="N89" s="52">
        <f>N37*M89</f>
        <v>1.6986680000000001</v>
      </c>
      <c r="O89" s="42"/>
      <c r="P89" s="34">
        <v>0</v>
      </c>
      <c r="Q89" s="52">
        <f>Q37*P89</f>
        <v>0</v>
      </c>
      <c r="R89" s="42"/>
      <c r="S89" s="42"/>
    </row>
    <row r="90" spans="1:19" x14ac:dyDescent="0.2">
      <c r="A90" s="42"/>
      <c r="B90" s="71" t="s">
        <v>6</v>
      </c>
      <c r="C90" s="409" t="s">
        <v>168</v>
      </c>
      <c r="D90" s="415"/>
      <c r="E90" s="51">
        <f>ROUND(((1/12*4)+(1.33/12*4))/12*0.0025,4)</f>
        <v>2.0000000000000001E-4</v>
      </c>
      <c r="F90" s="52">
        <f>$F$37*E90</f>
        <v>0.68380600000000002</v>
      </c>
      <c r="G90" s="51">
        <f>ROUND(((1/12*4)+(1.33/12*4))/12*0.0025,4)</f>
        <v>2.0000000000000001E-4</v>
      </c>
      <c r="H90" s="52">
        <f>$H$37*G90</f>
        <v>0.70432000000000006</v>
      </c>
      <c r="I90" s="51">
        <f>ROUND(((1/12*4)+(1.33/12*4))/12*0.0025,4)</f>
        <v>2.0000000000000001E-4</v>
      </c>
      <c r="J90" s="52">
        <f>J37*I90</f>
        <v>0.76418600000000003</v>
      </c>
      <c r="K90" s="51">
        <f>ROUND(((1/12*4)+(1.33/12*4))/12*0.0025,4)</f>
        <v>2.0000000000000001E-4</v>
      </c>
      <c r="L90" s="52">
        <f>L37*K90</f>
        <v>0.80889200000000006</v>
      </c>
      <c r="M90" s="51">
        <f>ROUND(((1/12*4)+(1.33/12*4))/12*0.0025,4)</f>
        <v>2.0000000000000001E-4</v>
      </c>
      <c r="N90" s="52">
        <f>N37*M90</f>
        <v>0.84933400000000003</v>
      </c>
      <c r="O90" s="42"/>
      <c r="P90" s="51">
        <v>0</v>
      </c>
      <c r="Q90" s="52">
        <f>Q37*P90</f>
        <v>0</v>
      </c>
      <c r="R90" s="42"/>
      <c r="S90" s="42"/>
    </row>
    <row r="91" spans="1:19" ht="13.5" thickBot="1" x14ac:dyDescent="0.25">
      <c r="A91" s="42"/>
      <c r="B91" s="80" t="s">
        <v>7</v>
      </c>
      <c r="C91" s="378" t="s">
        <v>169</v>
      </c>
      <c r="D91" s="446"/>
      <c r="E91" s="53"/>
      <c r="F91" s="54">
        <f>ROUND($F$37*E91,2)</f>
        <v>0</v>
      </c>
      <c r="G91" s="53"/>
      <c r="H91" s="81">
        <f>ROUND($H$37*G91,2)</f>
        <v>0</v>
      </c>
      <c r="I91" s="53"/>
      <c r="J91" s="52">
        <f>ROUND(J37*I91,2)</f>
        <v>0</v>
      </c>
      <c r="K91" s="53"/>
      <c r="L91" s="52">
        <f>ROUND(L37*K91,2)</f>
        <v>0</v>
      </c>
      <c r="M91" s="53"/>
      <c r="N91" s="52">
        <f>ROUND(N37*M91,2)</f>
        <v>0</v>
      </c>
      <c r="O91" s="42"/>
      <c r="P91" s="53"/>
      <c r="Q91" s="52">
        <f>ROUND(Q37*P91,2)</f>
        <v>0</v>
      </c>
      <c r="R91" s="42"/>
      <c r="S91" s="42"/>
    </row>
    <row r="92" spans="1:19" ht="15.75" thickBot="1" x14ac:dyDescent="0.3">
      <c r="A92" s="42"/>
      <c r="B92" s="369" t="s">
        <v>16</v>
      </c>
      <c r="C92" s="370"/>
      <c r="D92" s="370"/>
      <c r="E92" s="146">
        <f>SUM(E86:E91)</f>
        <v>1.0346666666666665E-2</v>
      </c>
      <c r="F92" s="5">
        <f>SUM(F86:F91)</f>
        <v>35.37556373333333</v>
      </c>
      <c r="G92" s="41"/>
      <c r="H92" s="5">
        <f>SUM(H86:H91)</f>
        <v>36.436821333333334</v>
      </c>
      <c r="I92" s="41"/>
      <c r="J92" s="5">
        <f>SUM(J86:J91)</f>
        <v>39.53388906666666</v>
      </c>
      <c r="K92" s="41"/>
      <c r="L92" s="5">
        <f>SUM(L86:L91)</f>
        <v>41.846679466666671</v>
      </c>
      <c r="M92" s="41"/>
      <c r="N92" s="5">
        <f>SUM(N86:N91)</f>
        <v>43.938878933333328</v>
      </c>
      <c r="O92" s="42"/>
      <c r="P92" s="41"/>
      <c r="Q92" s="5">
        <f>SUM(Q86:Q91)</f>
        <v>0</v>
      </c>
      <c r="R92" s="42"/>
      <c r="S92" s="42"/>
    </row>
    <row r="93" spans="1:19" ht="15.75" thickBot="1" x14ac:dyDescent="0.3">
      <c r="A93" s="42"/>
      <c r="B93" s="135"/>
      <c r="C93" s="135"/>
      <c r="D93" s="135"/>
      <c r="E93" s="87"/>
      <c r="F93" s="25"/>
      <c r="G93" s="42"/>
      <c r="H93" s="25"/>
      <c r="I93" s="42"/>
      <c r="J93" s="25"/>
      <c r="K93" s="42"/>
      <c r="L93" s="25"/>
      <c r="M93" s="42"/>
      <c r="N93" s="25"/>
      <c r="O93" s="42"/>
      <c r="P93" s="42"/>
      <c r="Q93" s="25"/>
      <c r="R93" s="42"/>
      <c r="S93" s="42"/>
    </row>
    <row r="94" spans="1:19" ht="15.75" thickBot="1" x14ac:dyDescent="0.3">
      <c r="A94" s="42"/>
      <c r="B94" s="369" t="s">
        <v>107</v>
      </c>
      <c r="C94" s="370"/>
      <c r="D94" s="370"/>
      <c r="E94" s="370"/>
      <c r="F94" s="370"/>
      <c r="G94" s="370"/>
      <c r="H94" s="370"/>
      <c r="I94" s="370"/>
      <c r="J94" s="370"/>
      <c r="K94" s="370"/>
      <c r="L94" s="370"/>
      <c r="M94" s="370"/>
      <c r="N94" s="371"/>
      <c r="O94" s="42"/>
      <c r="P94" s="42"/>
      <c r="Q94" s="42"/>
      <c r="R94" s="42"/>
      <c r="S94" s="42"/>
    </row>
    <row r="95" spans="1:19" ht="15.75" thickBot="1" x14ac:dyDescent="0.3">
      <c r="A95" s="42"/>
      <c r="B95" s="65" t="s">
        <v>49</v>
      </c>
      <c r="C95" s="369" t="s">
        <v>108</v>
      </c>
      <c r="D95" s="371"/>
      <c r="E95" s="134" t="s">
        <v>13</v>
      </c>
      <c r="F95" s="133" t="s">
        <v>35</v>
      </c>
      <c r="G95" s="4" t="s">
        <v>13</v>
      </c>
      <c r="H95" s="4" t="s">
        <v>35</v>
      </c>
      <c r="I95" s="4" t="s">
        <v>13</v>
      </c>
      <c r="J95" s="138" t="s">
        <v>35</v>
      </c>
      <c r="K95" s="4" t="s">
        <v>13</v>
      </c>
      <c r="L95" s="138" t="s">
        <v>35</v>
      </c>
      <c r="M95" s="4" t="s">
        <v>13</v>
      </c>
      <c r="N95" s="138" t="s">
        <v>35</v>
      </c>
      <c r="O95" s="42"/>
      <c r="P95" s="4" t="s">
        <v>13</v>
      </c>
      <c r="Q95" s="138" t="s">
        <v>35</v>
      </c>
      <c r="R95" s="42"/>
      <c r="S95" s="42"/>
    </row>
    <row r="96" spans="1:19" ht="13.5" thickBot="1" x14ac:dyDescent="0.25">
      <c r="A96" s="42"/>
      <c r="B96" s="70" t="s">
        <v>1</v>
      </c>
      <c r="C96" s="432" t="s">
        <v>109</v>
      </c>
      <c r="D96" s="445"/>
      <c r="E96" s="49"/>
      <c r="F96" s="50">
        <f>ROUND($F$37*E96,2)</f>
        <v>0</v>
      </c>
      <c r="G96" s="49"/>
      <c r="H96" s="101">
        <f>ROUND($H$37*G96,2)</f>
        <v>0</v>
      </c>
      <c r="I96" s="57"/>
      <c r="J96" s="50">
        <f>ROUND(J37*I96,2)</f>
        <v>0</v>
      </c>
      <c r="K96" s="57"/>
      <c r="L96" s="50">
        <f>ROUND(L37*K96,2)</f>
        <v>0</v>
      </c>
      <c r="M96" s="57"/>
      <c r="N96" s="50">
        <f>ROUND(N37*M96,2)</f>
        <v>0</v>
      </c>
      <c r="O96" s="42"/>
      <c r="P96" s="57"/>
      <c r="Q96" s="50">
        <f>ROUND(Q37*P96,2)</f>
        <v>0</v>
      </c>
      <c r="R96" s="42"/>
      <c r="S96" s="42"/>
    </row>
    <row r="97" spans="1:19" ht="13.5" customHeight="1" thickBot="1" x14ac:dyDescent="0.3">
      <c r="A97" s="42"/>
      <c r="B97" s="369" t="s">
        <v>16</v>
      </c>
      <c r="C97" s="370"/>
      <c r="D97" s="370"/>
      <c r="E97" s="371"/>
      <c r="F97" s="5">
        <f>F96</f>
        <v>0</v>
      </c>
      <c r="G97" s="41"/>
      <c r="H97" s="12">
        <f>H96</f>
        <v>0</v>
      </c>
      <c r="I97" s="41"/>
      <c r="J97" s="5">
        <f>J96</f>
        <v>0</v>
      </c>
      <c r="K97" s="41"/>
      <c r="L97" s="5">
        <f>L96</f>
        <v>0</v>
      </c>
      <c r="M97" s="41"/>
      <c r="N97" s="5">
        <f>N96</f>
        <v>0</v>
      </c>
      <c r="O97" s="42"/>
      <c r="P97" s="41"/>
      <c r="Q97" s="5">
        <f>Q96</f>
        <v>0</v>
      </c>
      <c r="R97" s="42"/>
      <c r="S97" s="42"/>
    </row>
    <row r="98" spans="1:19" ht="13.5" customHeight="1" thickBot="1" x14ac:dyDescent="0.3">
      <c r="A98" s="42"/>
      <c r="B98" s="135"/>
      <c r="C98" s="135"/>
      <c r="D98" s="135"/>
      <c r="E98" s="135"/>
      <c r="F98" s="25"/>
      <c r="G98" s="42"/>
      <c r="H98" s="25"/>
      <c r="I98" s="42"/>
      <c r="J98" s="25"/>
      <c r="K98" s="42"/>
      <c r="L98" s="25"/>
      <c r="M98" s="42"/>
      <c r="N98" s="25"/>
      <c r="O98" s="42"/>
      <c r="P98" s="42"/>
      <c r="Q98" s="25"/>
      <c r="R98" s="42"/>
      <c r="S98" s="42"/>
    </row>
    <row r="99" spans="1:19" ht="15.75" thickBot="1" x14ac:dyDescent="0.3">
      <c r="A99" s="42"/>
      <c r="B99" s="369" t="s">
        <v>110</v>
      </c>
      <c r="C99" s="370"/>
      <c r="D99" s="370"/>
      <c r="E99" s="370"/>
      <c r="F99" s="370"/>
      <c r="G99" s="370"/>
      <c r="H99" s="370"/>
      <c r="I99" s="370"/>
      <c r="J99" s="370"/>
      <c r="K99" s="370"/>
      <c r="L99" s="370"/>
      <c r="M99" s="370"/>
      <c r="N99" s="371"/>
      <c r="O99" s="42"/>
      <c r="P99" s="42"/>
      <c r="Q99" s="42"/>
      <c r="R99" s="42"/>
      <c r="S99" s="42"/>
    </row>
    <row r="100" spans="1:19" ht="15.75" thickBot="1" x14ac:dyDescent="0.3">
      <c r="A100" s="42"/>
      <c r="B100" s="139">
        <v>4</v>
      </c>
      <c r="C100" s="370" t="s">
        <v>47</v>
      </c>
      <c r="D100" s="371"/>
      <c r="E100" s="134" t="s">
        <v>13</v>
      </c>
      <c r="F100" s="136" t="s">
        <v>35</v>
      </c>
      <c r="G100" s="4" t="s">
        <v>13</v>
      </c>
      <c r="H100" s="4" t="s">
        <v>35</v>
      </c>
      <c r="I100" s="4" t="s">
        <v>13</v>
      </c>
      <c r="J100" s="138" t="s">
        <v>35</v>
      </c>
      <c r="K100" s="4" t="s">
        <v>13</v>
      </c>
      <c r="L100" s="138" t="s">
        <v>35</v>
      </c>
      <c r="M100" s="4" t="s">
        <v>13</v>
      </c>
      <c r="N100" s="138" t="s">
        <v>35</v>
      </c>
      <c r="O100" s="42"/>
      <c r="P100" s="4" t="s">
        <v>13</v>
      </c>
      <c r="Q100" s="138" t="s">
        <v>35</v>
      </c>
      <c r="R100" s="42"/>
      <c r="S100" s="42"/>
    </row>
    <row r="101" spans="1:19" x14ac:dyDescent="0.2">
      <c r="A101" s="42"/>
      <c r="B101" s="70" t="s">
        <v>48</v>
      </c>
      <c r="C101" s="432" t="s">
        <v>46</v>
      </c>
      <c r="D101" s="445"/>
      <c r="E101" s="145">
        <f>E92</f>
        <v>1.0346666666666665E-2</v>
      </c>
      <c r="F101" s="59">
        <f>F92</f>
        <v>35.37556373333333</v>
      </c>
      <c r="G101" s="49"/>
      <c r="H101" s="59">
        <f>H92</f>
        <v>36.436821333333334</v>
      </c>
      <c r="I101" s="49"/>
      <c r="J101" s="46">
        <f>J92</f>
        <v>39.53388906666666</v>
      </c>
      <c r="K101" s="49"/>
      <c r="L101" s="46">
        <f>L92</f>
        <v>41.846679466666671</v>
      </c>
      <c r="M101" s="49"/>
      <c r="N101" s="46">
        <f>N92</f>
        <v>43.938878933333328</v>
      </c>
      <c r="O101" s="42"/>
      <c r="P101" s="49"/>
      <c r="Q101" s="46">
        <f>Q92</f>
        <v>0</v>
      </c>
      <c r="R101" s="42"/>
      <c r="S101" s="42"/>
    </row>
    <row r="102" spans="1:19" ht="13.5" thickBot="1" x14ac:dyDescent="0.25">
      <c r="A102" s="42"/>
      <c r="B102" s="71" t="s">
        <v>49</v>
      </c>
      <c r="C102" s="409" t="s">
        <v>108</v>
      </c>
      <c r="D102" s="415"/>
      <c r="E102" s="51"/>
      <c r="F102" s="59">
        <f>F97</f>
        <v>0</v>
      </c>
      <c r="G102" s="51"/>
      <c r="H102" s="59">
        <f>H97</f>
        <v>0</v>
      </c>
      <c r="I102" s="51"/>
      <c r="J102" s="58">
        <f>J97</f>
        <v>0</v>
      </c>
      <c r="K102" s="51"/>
      <c r="L102" s="58">
        <f>L97</f>
        <v>0</v>
      </c>
      <c r="M102" s="51"/>
      <c r="N102" s="58">
        <f>N97</f>
        <v>0</v>
      </c>
      <c r="O102" s="42"/>
      <c r="P102" s="51"/>
      <c r="Q102" s="58">
        <f>Q97</f>
        <v>0</v>
      </c>
      <c r="R102" s="42"/>
      <c r="S102" s="42"/>
    </row>
    <row r="103" spans="1:19" ht="15.75" thickBot="1" x14ac:dyDescent="0.3">
      <c r="A103" s="42"/>
      <c r="B103" s="369" t="s">
        <v>16</v>
      </c>
      <c r="C103" s="370"/>
      <c r="D103" s="370"/>
      <c r="E103" s="100"/>
      <c r="F103" s="5">
        <f>SUM(F101:F102)</f>
        <v>35.37556373333333</v>
      </c>
      <c r="G103" s="60"/>
      <c r="H103" s="13">
        <f>SUM(H101:H102)</f>
        <v>36.436821333333334</v>
      </c>
      <c r="I103" s="41"/>
      <c r="J103" s="5">
        <f>SUM(J101:J102)</f>
        <v>39.53388906666666</v>
      </c>
      <c r="K103" s="41"/>
      <c r="L103" s="5">
        <f>SUM(L101:L102)</f>
        <v>41.846679466666671</v>
      </c>
      <c r="M103" s="41"/>
      <c r="N103" s="5">
        <f>SUM(N101:N102)</f>
        <v>43.938878933333328</v>
      </c>
      <c r="O103" s="42"/>
      <c r="P103" s="41"/>
      <c r="Q103" s="5">
        <f>SUM(Q101:Q102)</f>
        <v>0</v>
      </c>
      <c r="R103" s="42"/>
      <c r="S103" s="42"/>
    </row>
    <row r="104" spans="1:19" ht="15.75" thickBot="1" x14ac:dyDescent="0.3">
      <c r="A104" s="42"/>
      <c r="B104" s="42"/>
      <c r="C104" s="87"/>
      <c r="D104" s="87"/>
      <c r="E104" s="87"/>
      <c r="F104" s="25"/>
      <c r="G104" s="42"/>
      <c r="H104" s="25"/>
      <c r="I104" s="42"/>
      <c r="J104" s="25"/>
      <c r="K104" s="42"/>
      <c r="L104" s="25"/>
      <c r="M104" s="42"/>
      <c r="N104" s="25"/>
      <c r="O104" s="42"/>
      <c r="P104" s="42"/>
      <c r="Q104" s="25"/>
      <c r="R104" s="42"/>
      <c r="S104" s="42"/>
    </row>
    <row r="105" spans="1:19" ht="15.75" thickBot="1" x14ac:dyDescent="0.3">
      <c r="A105" s="42"/>
      <c r="B105" s="369" t="s">
        <v>111</v>
      </c>
      <c r="C105" s="370"/>
      <c r="D105" s="370"/>
      <c r="E105" s="370"/>
      <c r="F105" s="370"/>
      <c r="G105" s="370"/>
      <c r="H105" s="370"/>
      <c r="I105" s="370"/>
      <c r="J105" s="370"/>
      <c r="K105" s="370"/>
      <c r="L105" s="370"/>
      <c r="M105" s="370"/>
      <c r="N105" s="371"/>
      <c r="O105" s="42"/>
      <c r="P105" s="42"/>
      <c r="Q105" s="42"/>
      <c r="R105" s="42"/>
      <c r="S105" s="42"/>
    </row>
    <row r="106" spans="1:19" ht="15.75" thickBot="1" x14ac:dyDescent="0.3">
      <c r="A106" s="42"/>
      <c r="B106" s="65">
        <v>5</v>
      </c>
      <c r="C106" s="456" t="s">
        <v>15</v>
      </c>
      <c r="D106" s="457"/>
      <c r="E106" s="28" t="s">
        <v>13</v>
      </c>
      <c r="F106" s="30" t="s">
        <v>35</v>
      </c>
      <c r="G106" s="95" t="s">
        <v>13</v>
      </c>
      <c r="H106" s="95" t="s">
        <v>35</v>
      </c>
      <c r="I106" s="95" t="s">
        <v>13</v>
      </c>
      <c r="J106" s="31" t="s">
        <v>35</v>
      </c>
      <c r="K106" s="95" t="s">
        <v>13</v>
      </c>
      <c r="L106" s="31" t="s">
        <v>35</v>
      </c>
      <c r="M106" s="95" t="s">
        <v>13</v>
      </c>
      <c r="N106" s="31" t="s">
        <v>35</v>
      </c>
      <c r="O106" s="42"/>
      <c r="P106" s="95" t="s">
        <v>13</v>
      </c>
      <c r="Q106" s="31" t="s">
        <v>35</v>
      </c>
      <c r="R106" s="42"/>
      <c r="S106" s="42"/>
    </row>
    <row r="107" spans="1:19" x14ac:dyDescent="0.2">
      <c r="A107" s="42"/>
      <c r="B107" s="70" t="s">
        <v>1</v>
      </c>
      <c r="C107" s="432" t="s">
        <v>38</v>
      </c>
      <c r="D107" s="445"/>
      <c r="E107" s="49"/>
      <c r="F107" s="46">
        <f>Uniforme!$E$12</f>
        <v>48.333333333333336</v>
      </c>
      <c r="G107" s="49"/>
      <c r="H107" s="46">
        <f>Uniforme!$E$12</f>
        <v>48.333333333333336</v>
      </c>
      <c r="I107" s="49"/>
      <c r="J107" s="46">
        <f>Uniforme!$E$12</f>
        <v>48.333333333333336</v>
      </c>
      <c r="K107" s="49"/>
      <c r="L107" s="46">
        <f>Uniforme!$E$12</f>
        <v>48.333333333333336</v>
      </c>
      <c r="M107" s="49"/>
      <c r="N107" s="46">
        <f>Uniforme!$E$12</f>
        <v>48.333333333333336</v>
      </c>
      <c r="O107" s="42"/>
      <c r="P107" s="49"/>
      <c r="Q107" s="46">
        <f>Uniforme!$E$12</f>
        <v>48.333333333333336</v>
      </c>
      <c r="R107" s="42"/>
      <c r="S107" s="42"/>
    </row>
    <row r="108" spans="1:19" x14ac:dyDescent="0.2">
      <c r="A108" s="42"/>
      <c r="B108" s="71" t="s">
        <v>2</v>
      </c>
      <c r="C108" s="409" t="s">
        <v>39</v>
      </c>
      <c r="D108" s="415"/>
      <c r="E108" s="51"/>
      <c r="F108" s="82">
        <f>Materiais!$H$36</f>
        <v>1.5299999999999998</v>
      </c>
      <c r="G108" s="51"/>
      <c r="H108" s="82">
        <f>Materiais!$H$36</f>
        <v>1.5299999999999998</v>
      </c>
      <c r="I108" s="51"/>
      <c r="J108" s="82">
        <f>Materiais!$H$36</f>
        <v>1.5299999999999998</v>
      </c>
      <c r="K108" s="51"/>
      <c r="L108" s="82">
        <f>Materiais!$H$36</f>
        <v>1.5299999999999998</v>
      </c>
      <c r="M108" s="51"/>
      <c r="N108" s="82">
        <f>Materiais!$H$36</f>
        <v>1.5299999999999998</v>
      </c>
      <c r="O108" s="42"/>
      <c r="P108" s="51"/>
      <c r="Q108" s="82">
        <f>Materiais!$H$36</f>
        <v>1.5299999999999998</v>
      </c>
      <c r="R108" s="42"/>
      <c r="S108" s="42"/>
    </row>
    <row r="109" spans="1:19" x14ac:dyDescent="0.2">
      <c r="A109" s="42"/>
      <c r="B109" s="71" t="s">
        <v>4</v>
      </c>
      <c r="C109" s="409" t="s">
        <v>220</v>
      </c>
      <c r="D109" s="415"/>
      <c r="E109" s="51"/>
      <c r="F109" s="52">
        <f>Equipamento!$I$7</f>
        <v>1.0256410256410258</v>
      </c>
      <c r="G109" s="51"/>
      <c r="H109" s="52">
        <f>Equipamento!$I$7</f>
        <v>1.0256410256410258</v>
      </c>
      <c r="I109" s="51"/>
      <c r="J109" s="52">
        <f>Equipamento!$I$7</f>
        <v>1.0256410256410258</v>
      </c>
      <c r="K109" s="51"/>
      <c r="L109" s="52">
        <f>Equipamento!$I$7</f>
        <v>1.0256410256410258</v>
      </c>
      <c r="M109" s="51"/>
      <c r="N109" s="52">
        <f>Equipamento!$I$7</f>
        <v>1.0256410256410258</v>
      </c>
      <c r="O109" s="42"/>
      <c r="P109" s="51"/>
      <c r="Q109" s="52">
        <f>Equipamento!$I$7</f>
        <v>1.0256410256410258</v>
      </c>
      <c r="R109" s="42"/>
      <c r="S109" s="42"/>
    </row>
    <row r="110" spans="1:19" ht="13.5" thickBot="1" x14ac:dyDescent="0.25">
      <c r="A110" s="42"/>
      <c r="B110" s="71" t="s">
        <v>5</v>
      </c>
      <c r="C110" s="409" t="s">
        <v>37</v>
      </c>
      <c r="D110" s="415"/>
      <c r="E110" s="34"/>
      <c r="F110" s="98"/>
      <c r="G110" s="34"/>
      <c r="H110" s="54"/>
      <c r="I110" s="51"/>
      <c r="J110" s="52"/>
      <c r="K110" s="51"/>
      <c r="L110" s="52"/>
      <c r="M110" s="51"/>
      <c r="N110" s="52"/>
      <c r="O110" s="42"/>
      <c r="P110" s="51"/>
      <c r="Q110" s="52"/>
      <c r="R110" s="42"/>
      <c r="S110" s="42"/>
    </row>
    <row r="111" spans="1:19" ht="15.75" thickBot="1" x14ac:dyDescent="0.3">
      <c r="A111" s="42"/>
      <c r="B111" s="41"/>
      <c r="C111" s="438" t="s">
        <v>16</v>
      </c>
      <c r="D111" s="439"/>
      <c r="E111" s="440"/>
      <c r="F111" s="5">
        <f>SUM(F107:F110)</f>
        <v>50.888974358974366</v>
      </c>
      <c r="G111" s="41"/>
      <c r="H111" s="5">
        <f>SUM(H107:H110)</f>
        <v>50.888974358974366</v>
      </c>
      <c r="I111" s="41"/>
      <c r="J111" s="5">
        <f>SUM(J107:J110)</f>
        <v>50.888974358974366</v>
      </c>
      <c r="K111" s="41"/>
      <c r="L111" s="5">
        <f>SUM(L107:L110)</f>
        <v>50.888974358974366</v>
      </c>
      <c r="M111" s="41"/>
      <c r="N111" s="5">
        <f>SUM(N107:N110)</f>
        <v>50.888974358974366</v>
      </c>
      <c r="O111" s="42"/>
      <c r="P111" s="41"/>
      <c r="Q111" s="5">
        <f>SUM(Q107:Q110)</f>
        <v>50.888974358974366</v>
      </c>
      <c r="R111" s="42"/>
      <c r="S111" s="42"/>
    </row>
    <row r="112" spans="1:19" ht="15.75" thickBot="1" x14ac:dyDescent="0.3">
      <c r="A112" s="42"/>
      <c r="B112" s="42"/>
      <c r="C112" s="87"/>
      <c r="D112" s="87"/>
      <c r="E112" s="87"/>
      <c r="F112" s="25"/>
      <c r="G112" s="42"/>
      <c r="H112" s="25"/>
      <c r="I112" s="42"/>
      <c r="J112" s="25"/>
      <c r="K112" s="42"/>
      <c r="L112" s="25"/>
      <c r="M112" s="42"/>
      <c r="N112" s="25"/>
      <c r="O112" s="42"/>
      <c r="P112" s="42"/>
      <c r="Q112" s="25"/>
      <c r="R112" s="42"/>
      <c r="S112" s="42"/>
    </row>
    <row r="113" spans="1:19" ht="15.75" thickBot="1" x14ac:dyDescent="0.3">
      <c r="A113" s="42"/>
      <c r="B113" s="369" t="s">
        <v>124</v>
      </c>
      <c r="C113" s="370"/>
      <c r="D113" s="370"/>
      <c r="E113" s="370"/>
      <c r="F113" s="370"/>
      <c r="G113" s="370"/>
      <c r="H113" s="370"/>
      <c r="I113" s="370"/>
      <c r="J113" s="370"/>
      <c r="K113" s="370"/>
      <c r="L113" s="370"/>
      <c r="M113" s="370"/>
      <c r="N113" s="371"/>
      <c r="O113" s="42"/>
      <c r="P113" s="42"/>
      <c r="Q113" s="42"/>
      <c r="R113" s="42"/>
      <c r="S113" s="42"/>
    </row>
    <row r="114" spans="1:19" ht="15.75" thickBot="1" x14ac:dyDescent="0.3">
      <c r="A114" s="42"/>
      <c r="B114" s="65">
        <v>6</v>
      </c>
      <c r="C114" s="456" t="s">
        <v>59</v>
      </c>
      <c r="D114" s="457"/>
      <c r="E114" s="28" t="s">
        <v>13</v>
      </c>
      <c r="F114" s="30" t="s">
        <v>35</v>
      </c>
      <c r="G114" s="65" t="s">
        <v>13</v>
      </c>
      <c r="H114" s="66" t="s">
        <v>35</v>
      </c>
      <c r="I114" s="65" t="s">
        <v>13</v>
      </c>
      <c r="J114" s="66" t="s">
        <v>35</v>
      </c>
      <c r="K114" s="65" t="s">
        <v>13</v>
      </c>
      <c r="L114" s="66" t="s">
        <v>35</v>
      </c>
      <c r="M114" s="65" t="s">
        <v>13</v>
      </c>
      <c r="N114" s="66" t="s">
        <v>35</v>
      </c>
      <c r="O114" s="42"/>
      <c r="P114" s="65" t="s">
        <v>13</v>
      </c>
      <c r="Q114" s="66" t="s">
        <v>35</v>
      </c>
      <c r="R114" s="42"/>
      <c r="S114" s="42"/>
    </row>
    <row r="115" spans="1:19" x14ac:dyDescent="0.2">
      <c r="A115" s="42"/>
      <c r="B115" s="70" t="s">
        <v>1</v>
      </c>
      <c r="C115" s="432" t="s">
        <v>50</v>
      </c>
      <c r="D115" s="445"/>
      <c r="E115" s="57">
        <v>7.4000000000000003E-3</v>
      </c>
      <c r="F115" s="47">
        <f>F130*E115</f>
        <v>46.877690748295826</v>
      </c>
      <c r="G115" s="57">
        <v>7.4000000000000003E-3</v>
      </c>
      <c r="H115" s="47">
        <f>H130*G115</f>
        <v>48.276899175460855</v>
      </c>
      <c r="I115" s="57">
        <v>7.4000000000000003E-3</v>
      </c>
      <c r="J115" s="47">
        <f>J130*I115</f>
        <v>52.23774845348705</v>
      </c>
      <c r="K115" s="57">
        <v>7.4000000000000003E-3</v>
      </c>
      <c r="L115" s="47">
        <f>L130*K115</f>
        <v>55.195130500397134</v>
      </c>
      <c r="M115" s="57">
        <v>7.4000000000000003E-3</v>
      </c>
      <c r="N115" s="47">
        <f>N130*M115</f>
        <v>58.099565887135775</v>
      </c>
      <c r="O115" s="42"/>
      <c r="P115" s="57">
        <v>7.4000000000000003E-3</v>
      </c>
      <c r="Q115" s="47">
        <f>Q130*P115</f>
        <v>45.69899714225641</v>
      </c>
      <c r="R115" s="42"/>
      <c r="S115" s="42"/>
    </row>
    <row r="116" spans="1:19" x14ac:dyDescent="0.2">
      <c r="A116" s="42"/>
      <c r="B116" s="80" t="s">
        <v>2</v>
      </c>
      <c r="C116" s="378" t="s">
        <v>0</v>
      </c>
      <c r="D116" s="446"/>
      <c r="E116" s="67">
        <v>5.0000000000000001E-3</v>
      </c>
      <c r="F116" s="63">
        <f>(F130+F115)*E116</f>
        <v>31.908503824211635</v>
      </c>
      <c r="G116" s="67">
        <v>5.0000000000000001E-3</v>
      </c>
      <c r="H116" s="63">
        <f>(H130+H115)*G116</f>
        <v>32.86091096578329</v>
      </c>
      <c r="I116" s="67">
        <v>5.0000000000000001E-3</v>
      </c>
      <c r="J116" s="63">
        <f>(J130+J115)*I116</f>
        <v>35.556964724353278</v>
      </c>
      <c r="K116" s="67">
        <v>5.0000000000000001E-3</v>
      </c>
      <c r="L116" s="63">
        <f>(L130+L115)*K116</f>
        <v>37.569982747364911</v>
      </c>
      <c r="M116" s="67">
        <v>5.0000000000000001E-3</v>
      </c>
      <c r="N116" s="63">
        <f>(N130+N115)*M116</f>
        <v>39.546961266689586</v>
      </c>
      <c r="O116" s="42"/>
      <c r="P116" s="67">
        <v>5.0000000000000001E-3</v>
      </c>
      <c r="Q116" s="63">
        <f>(Q130+Q115)*P116</f>
        <v>31.106195757506153</v>
      </c>
      <c r="R116" s="42"/>
      <c r="S116" s="42"/>
    </row>
    <row r="117" spans="1:19" x14ac:dyDescent="0.2">
      <c r="A117" s="42"/>
      <c r="B117" s="71" t="s">
        <v>4</v>
      </c>
      <c r="C117" s="409" t="s">
        <v>14</v>
      </c>
      <c r="D117" s="415"/>
      <c r="E117" s="27">
        <f t="shared" ref="E117:N117" si="6">SUM(E118:E120)</f>
        <v>8.6499999999999994E-2</v>
      </c>
      <c r="F117" s="62">
        <f t="shared" si="6"/>
        <v>607.30871500000001</v>
      </c>
      <c r="G117" s="27">
        <f t="shared" si="6"/>
        <v>8.6499999999999994E-2</v>
      </c>
      <c r="H117" s="62">
        <f t="shared" si="6"/>
        <v>625.43215499999997</v>
      </c>
      <c r="I117" s="27">
        <f>SUM(I118:I120)</f>
        <v>8.6499999999999994E-2</v>
      </c>
      <c r="J117" s="62">
        <f>SUM(J118:J120)</f>
        <v>676.74468499999989</v>
      </c>
      <c r="K117" s="27">
        <f t="shared" ref="K117:L117" si="7">SUM(K118:K120)</f>
        <v>8.6499999999999994E-2</v>
      </c>
      <c r="L117" s="62">
        <f t="shared" si="7"/>
        <v>715.06199500000002</v>
      </c>
      <c r="M117" s="27">
        <f t="shared" si="6"/>
        <v>8.6499999999999994E-2</v>
      </c>
      <c r="N117" s="62">
        <f t="shared" si="6"/>
        <v>752.68949499999985</v>
      </c>
      <c r="O117" s="42"/>
      <c r="P117" s="27">
        <f>SUM(P118:P120)</f>
        <v>8.6499999999999994E-2</v>
      </c>
      <c r="Q117" s="62">
        <f>SUM(Q118:Q120)</f>
        <v>592.03987000000006</v>
      </c>
      <c r="R117" s="42"/>
      <c r="S117" s="42"/>
    </row>
    <row r="118" spans="1:19" x14ac:dyDescent="0.2">
      <c r="A118" s="42"/>
      <c r="B118" s="71"/>
      <c r="C118" s="409" t="s">
        <v>120</v>
      </c>
      <c r="D118" s="415"/>
      <c r="E118" s="34">
        <v>6.4999999999999997E-3</v>
      </c>
      <c r="F118" s="62">
        <f>E118*F132</f>
        <v>45.635914999999997</v>
      </c>
      <c r="G118" s="34">
        <v>6.4999999999999997E-3</v>
      </c>
      <c r="H118" s="62">
        <f>G118*H132</f>
        <v>46.998055000000001</v>
      </c>
      <c r="I118" s="34">
        <v>6.4999999999999997E-3</v>
      </c>
      <c r="J118" s="62">
        <f>I118*J132</f>
        <v>50.853984999999994</v>
      </c>
      <c r="K118" s="34">
        <v>6.4999999999999997E-3</v>
      </c>
      <c r="L118" s="62">
        <f>K118*L132</f>
        <v>53.733094999999992</v>
      </c>
      <c r="M118" s="34">
        <v>6.4999999999999997E-3</v>
      </c>
      <c r="N118" s="62">
        <f>M118*N132</f>
        <v>56.560594999999992</v>
      </c>
      <c r="O118" s="42"/>
      <c r="P118" s="34">
        <v>6.4999999999999997E-3</v>
      </c>
      <c r="Q118" s="62">
        <f>P118*Q132</f>
        <v>44.48847</v>
      </c>
      <c r="R118" s="42"/>
      <c r="S118" s="42"/>
    </row>
    <row r="119" spans="1:19" x14ac:dyDescent="0.2">
      <c r="A119" s="42"/>
      <c r="B119" s="71"/>
      <c r="C119" s="409" t="s">
        <v>121</v>
      </c>
      <c r="D119" s="415"/>
      <c r="E119" s="34">
        <v>0.03</v>
      </c>
      <c r="F119" s="62">
        <f>E119*F132</f>
        <v>210.62729999999999</v>
      </c>
      <c r="G119" s="34">
        <v>0.03</v>
      </c>
      <c r="H119" s="62">
        <f>G119*H132</f>
        <v>216.91409999999999</v>
      </c>
      <c r="I119" s="34">
        <v>0.03</v>
      </c>
      <c r="J119" s="62">
        <f>I119*J132</f>
        <v>234.71069999999997</v>
      </c>
      <c r="K119" s="34">
        <v>0.03</v>
      </c>
      <c r="L119" s="62">
        <f>K119*L132</f>
        <v>247.99889999999996</v>
      </c>
      <c r="M119" s="34">
        <v>0.03</v>
      </c>
      <c r="N119" s="62">
        <f>M119*N132</f>
        <v>261.04889999999995</v>
      </c>
      <c r="O119" s="42"/>
      <c r="P119" s="34">
        <v>0.03</v>
      </c>
      <c r="Q119" s="62">
        <f>P119*Q132</f>
        <v>205.3314</v>
      </c>
      <c r="R119" s="42"/>
      <c r="S119" s="42"/>
    </row>
    <row r="120" spans="1:19" ht="13.5" thickBot="1" x14ac:dyDescent="0.25">
      <c r="A120" s="42"/>
      <c r="B120" s="71"/>
      <c r="C120" s="409" t="s">
        <v>122</v>
      </c>
      <c r="D120" s="415"/>
      <c r="E120" s="34">
        <v>0.05</v>
      </c>
      <c r="F120" s="62">
        <f>E120*F132</f>
        <v>351.0455</v>
      </c>
      <c r="G120" s="34">
        <v>0.05</v>
      </c>
      <c r="H120" s="62">
        <f>ROUND(G120*H132,2)</f>
        <v>361.52</v>
      </c>
      <c r="I120" s="34">
        <v>0.05</v>
      </c>
      <c r="J120" s="52">
        <f>ROUND(I120*J132,2)</f>
        <v>391.18</v>
      </c>
      <c r="K120" s="34">
        <v>0.05</v>
      </c>
      <c r="L120" s="52">
        <f>ROUND(K120*L132,2)</f>
        <v>413.33</v>
      </c>
      <c r="M120" s="34">
        <v>0.05</v>
      </c>
      <c r="N120" s="52">
        <f>ROUND(M120*N132,2)</f>
        <v>435.08</v>
      </c>
      <c r="O120" s="42"/>
      <c r="P120" s="34">
        <v>0.05</v>
      </c>
      <c r="Q120" s="52">
        <f>ROUND(P120*Q132,2)</f>
        <v>342.22</v>
      </c>
      <c r="R120" s="42"/>
      <c r="S120" s="42"/>
    </row>
    <row r="121" spans="1:19" ht="15.75" thickBot="1" x14ac:dyDescent="0.3">
      <c r="A121" s="42"/>
      <c r="B121" s="41"/>
      <c r="C121" s="438" t="s">
        <v>16</v>
      </c>
      <c r="D121" s="439"/>
      <c r="E121" s="440"/>
      <c r="F121" s="13">
        <f>ROUND(SUM(F115,F116,F117),2)</f>
        <v>686.09</v>
      </c>
      <c r="G121" s="41"/>
      <c r="H121" s="13">
        <f>ROUND(SUM(H115,H116,H117),2)</f>
        <v>706.57</v>
      </c>
      <c r="I121" s="41"/>
      <c r="J121" s="13">
        <f>ROUND(SUM(J115,J116,J117),2)</f>
        <v>764.54</v>
      </c>
      <c r="K121" s="41"/>
      <c r="L121" s="13">
        <f>ROUND(SUM(L115,L116,L117),2)</f>
        <v>807.83</v>
      </c>
      <c r="M121" s="41"/>
      <c r="N121" s="13">
        <f>ROUND(SUM(N115,N116,N117),2)</f>
        <v>850.34</v>
      </c>
      <c r="O121" s="42"/>
      <c r="P121" s="41"/>
      <c r="Q121" s="13">
        <f>ROUND(SUM(Q115,Q116,Q117),2)</f>
        <v>668.85</v>
      </c>
      <c r="R121" s="42"/>
      <c r="S121" s="42"/>
    </row>
    <row r="122" spans="1:19" ht="13.5" thickBot="1" x14ac:dyDescent="0.25">
      <c r="A122" s="42"/>
      <c r="B122" s="458"/>
      <c r="C122" s="458"/>
      <c r="D122" s="458"/>
      <c r="E122" s="458"/>
      <c r="F122" s="458"/>
      <c r="G122" s="42"/>
      <c r="H122" s="42"/>
      <c r="I122" s="42"/>
      <c r="J122" s="42"/>
      <c r="K122" s="42"/>
      <c r="L122" s="42"/>
      <c r="M122" s="42"/>
      <c r="N122" s="42"/>
      <c r="O122" s="42"/>
      <c r="P122" s="42"/>
      <c r="Q122" s="42"/>
      <c r="R122" s="42"/>
      <c r="S122" s="42"/>
    </row>
    <row r="123" spans="1:19" ht="15.75" thickBot="1" x14ac:dyDescent="0.3">
      <c r="A123" s="42"/>
      <c r="B123" s="369" t="s">
        <v>125</v>
      </c>
      <c r="C123" s="370"/>
      <c r="D123" s="370"/>
      <c r="E123" s="370"/>
      <c r="F123" s="370"/>
      <c r="G123" s="370"/>
      <c r="H123" s="370"/>
      <c r="I123" s="370"/>
      <c r="J123" s="370"/>
      <c r="K123" s="370"/>
      <c r="L123" s="370"/>
      <c r="M123" s="370"/>
      <c r="N123" s="371"/>
      <c r="O123" s="42"/>
      <c r="P123" s="42"/>
      <c r="Q123" s="42"/>
      <c r="R123" s="42"/>
      <c r="S123" s="42"/>
    </row>
    <row r="124" spans="1:19" ht="15.75" customHeight="1" thickBot="1" x14ac:dyDescent="0.3">
      <c r="A124" s="42"/>
      <c r="B124" s="100"/>
      <c r="C124" s="456" t="s">
        <v>127</v>
      </c>
      <c r="D124" s="456"/>
      <c r="E124" s="457"/>
      <c r="F124" s="136" t="s">
        <v>35</v>
      </c>
      <c r="G124" s="3"/>
      <c r="H124" s="6" t="s">
        <v>35</v>
      </c>
      <c r="I124" s="3"/>
      <c r="J124" s="4" t="s">
        <v>35</v>
      </c>
      <c r="K124" s="3"/>
      <c r="L124" s="4" t="s">
        <v>35</v>
      </c>
      <c r="M124" s="3"/>
      <c r="N124" s="4" t="s">
        <v>35</v>
      </c>
      <c r="O124" s="42"/>
      <c r="P124" s="3"/>
      <c r="Q124" s="4" t="s">
        <v>35</v>
      </c>
      <c r="R124" s="42"/>
      <c r="S124" s="42"/>
    </row>
    <row r="125" spans="1:19" x14ac:dyDescent="0.2">
      <c r="A125" s="42"/>
      <c r="B125" s="70" t="s">
        <v>1</v>
      </c>
      <c r="C125" s="70" t="s">
        <v>52</v>
      </c>
      <c r="D125" s="402" t="s">
        <v>57</v>
      </c>
      <c r="E125" s="402"/>
      <c r="F125" s="59">
        <f>$F$37</f>
        <v>3419.03</v>
      </c>
      <c r="G125" s="39"/>
      <c r="H125" s="46">
        <f>$H$37</f>
        <v>3521.6</v>
      </c>
      <c r="I125" s="39"/>
      <c r="J125" s="55">
        <f>J37</f>
        <v>3820.93</v>
      </c>
      <c r="K125" s="39"/>
      <c r="L125" s="55">
        <f>L37</f>
        <v>4044.46</v>
      </c>
      <c r="M125" s="39"/>
      <c r="N125" s="55">
        <f>N37</f>
        <v>4246.67</v>
      </c>
      <c r="O125" s="42"/>
      <c r="P125" s="39"/>
      <c r="Q125" s="55">
        <f>Q37</f>
        <v>4044.46</v>
      </c>
      <c r="R125" s="42"/>
      <c r="S125" s="42"/>
    </row>
    <row r="126" spans="1:19" x14ac:dyDescent="0.2">
      <c r="A126" s="42"/>
      <c r="B126" s="71" t="s">
        <v>2</v>
      </c>
      <c r="C126" s="71" t="s">
        <v>53</v>
      </c>
      <c r="D126" s="379" t="s">
        <v>100</v>
      </c>
      <c r="E126" s="379"/>
      <c r="F126" s="62">
        <f>F71</f>
        <v>2721.3474826370002</v>
      </c>
      <c r="G126" s="39"/>
      <c r="H126" s="62">
        <f>H71</f>
        <v>2807.4858766399998</v>
      </c>
      <c r="I126" s="39"/>
      <c r="J126" s="52">
        <f>J71</f>
        <v>3031.1719366470002</v>
      </c>
      <c r="K126" s="39"/>
      <c r="L126" s="52">
        <f>L71</f>
        <v>3198.1523198340001</v>
      </c>
      <c r="M126" s="39"/>
      <c r="N126" s="52">
        <f>N71</f>
        <v>3380.1691133930003</v>
      </c>
      <c r="O126" s="42"/>
      <c r="P126" s="39"/>
      <c r="Q126" s="52">
        <f>Q71</f>
        <v>2080.1911799999998</v>
      </c>
      <c r="R126" s="42"/>
      <c r="S126" s="42"/>
    </row>
    <row r="127" spans="1:19" x14ac:dyDescent="0.2">
      <c r="A127" s="42"/>
      <c r="B127" s="71" t="s">
        <v>4</v>
      </c>
      <c r="C127" s="71" t="s">
        <v>54</v>
      </c>
      <c r="D127" s="379" t="s">
        <v>45</v>
      </c>
      <c r="E127" s="379"/>
      <c r="F127" s="62">
        <f>F81</f>
        <v>108.18105336472223</v>
      </c>
      <c r="G127" s="39"/>
      <c r="H127" s="62">
        <f>H81</f>
        <v>107.49362164888889</v>
      </c>
      <c r="I127" s="39"/>
      <c r="J127" s="52">
        <f>J81</f>
        <v>116.63039634452778</v>
      </c>
      <c r="K127" s="39"/>
      <c r="L127" s="52">
        <f>L81</f>
        <v>123.45344531294444</v>
      </c>
      <c r="M127" s="39"/>
      <c r="N127" s="52">
        <f>N81</f>
        <v>129.62572076547224</v>
      </c>
      <c r="O127" s="42"/>
      <c r="P127" s="39"/>
      <c r="Q127" s="52">
        <f>Q81</f>
        <v>0</v>
      </c>
      <c r="R127" s="42"/>
      <c r="S127" s="42"/>
    </row>
    <row r="128" spans="1:19" x14ac:dyDescent="0.2">
      <c r="A128" s="42"/>
      <c r="B128" s="71" t="s">
        <v>5</v>
      </c>
      <c r="C128" s="71" t="s">
        <v>55</v>
      </c>
      <c r="D128" s="379" t="s">
        <v>47</v>
      </c>
      <c r="E128" s="379"/>
      <c r="F128" s="62">
        <f>F103</f>
        <v>35.37556373333333</v>
      </c>
      <c r="G128" s="39"/>
      <c r="H128" s="62">
        <f>H103</f>
        <v>36.436821333333334</v>
      </c>
      <c r="I128" s="39"/>
      <c r="J128" s="52">
        <f>J103</f>
        <v>39.53388906666666</v>
      </c>
      <c r="K128" s="39"/>
      <c r="L128" s="52">
        <f>L103</f>
        <v>41.846679466666671</v>
      </c>
      <c r="M128" s="39"/>
      <c r="N128" s="52">
        <f>N103</f>
        <v>43.938878933333328</v>
      </c>
      <c r="O128" s="42"/>
      <c r="P128" s="39"/>
      <c r="Q128" s="52">
        <f>Q103</f>
        <v>0</v>
      </c>
      <c r="R128" s="42"/>
      <c r="S128" s="42"/>
    </row>
    <row r="129" spans="1:19" x14ac:dyDescent="0.2">
      <c r="A129" s="42"/>
      <c r="B129" s="71" t="s">
        <v>6</v>
      </c>
      <c r="C129" s="71" t="s">
        <v>56</v>
      </c>
      <c r="D129" s="379" t="s">
        <v>15</v>
      </c>
      <c r="E129" s="379"/>
      <c r="F129" s="62">
        <f>F111</f>
        <v>50.888974358974366</v>
      </c>
      <c r="G129" s="39"/>
      <c r="H129" s="62">
        <f>H111</f>
        <v>50.888974358974366</v>
      </c>
      <c r="I129" s="39"/>
      <c r="J129" s="52">
        <f>J111</f>
        <v>50.888974358974366</v>
      </c>
      <c r="K129" s="39"/>
      <c r="L129" s="52">
        <f>L111</f>
        <v>50.888974358974366</v>
      </c>
      <c r="M129" s="39"/>
      <c r="N129" s="52">
        <f>N111</f>
        <v>50.888974358974366</v>
      </c>
      <c r="O129" s="42"/>
      <c r="P129" s="39"/>
      <c r="Q129" s="52">
        <f>Q111</f>
        <v>50.888974358974366</v>
      </c>
      <c r="R129" s="42"/>
      <c r="S129" s="42"/>
    </row>
    <row r="130" spans="1:19" x14ac:dyDescent="0.2">
      <c r="A130" s="42"/>
      <c r="B130" s="71"/>
      <c r="C130" s="459" t="s">
        <v>123</v>
      </c>
      <c r="D130" s="459"/>
      <c r="E130" s="459"/>
      <c r="F130" s="62">
        <f>SUM(F125:F129)</f>
        <v>6334.8230740940307</v>
      </c>
      <c r="G130" s="39"/>
      <c r="H130" s="62">
        <f>SUM(H125:H129)</f>
        <v>6523.9052939811963</v>
      </c>
      <c r="I130" s="39"/>
      <c r="J130" s="52">
        <f>SUM(J125:J129)</f>
        <v>7059.1551964171686</v>
      </c>
      <c r="K130" s="39"/>
      <c r="L130" s="52">
        <f>SUM(L125:L129)</f>
        <v>7458.8014189725855</v>
      </c>
      <c r="M130" s="39"/>
      <c r="N130" s="52">
        <f>SUM(N125:N129)</f>
        <v>7851.2926874507802</v>
      </c>
      <c r="O130" s="42"/>
      <c r="P130" s="39"/>
      <c r="Q130" s="52">
        <f>SUM(Q125:Q129)</f>
        <v>6175.5401543589742</v>
      </c>
      <c r="R130" s="42"/>
      <c r="S130" s="42"/>
    </row>
    <row r="131" spans="1:19" ht="13.5" thickBot="1" x14ac:dyDescent="0.25">
      <c r="A131" s="42"/>
      <c r="B131" s="80" t="s">
        <v>6</v>
      </c>
      <c r="C131" s="99" t="s">
        <v>128</v>
      </c>
      <c r="D131" s="383" t="s">
        <v>59</v>
      </c>
      <c r="E131" s="451"/>
      <c r="F131" s="63">
        <f>$F$121</f>
        <v>686.09</v>
      </c>
      <c r="G131" s="64"/>
      <c r="H131" s="48">
        <f>H121</f>
        <v>706.57</v>
      </c>
      <c r="I131" s="64"/>
      <c r="J131" s="48">
        <f>J121</f>
        <v>764.54</v>
      </c>
      <c r="K131" s="64"/>
      <c r="L131" s="48">
        <f>L121</f>
        <v>807.83</v>
      </c>
      <c r="M131" s="64"/>
      <c r="N131" s="48">
        <f>N121</f>
        <v>850.34</v>
      </c>
      <c r="O131" s="42"/>
      <c r="P131" s="64"/>
      <c r="Q131" s="48">
        <f>Q121</f>
        <v>668.85</v>
      </c>
      <c r="R131" s="42"/>
      <c r="S131" s="42"/>
    </row>
    <row r="132" spans="1:19" ht="15.75" thickBot="1" x14ac:dyDescent="0.25">
      <c r="A132" s="42"/>
      <c r="B132" s="41"/>
      <c r="C132" s="449" t="s">
        <v>51</v>
      </c>
      <c r="D132" s="449"/>
      <c r="E132" s="449"/>
      <c r="F132" s="5">
        <f>ROUNDDOWN((F130+F115+F116)/(1-E117),2)</f>
        <v>7020.91</v>
      </c>
      <c r="G132" s="41"/>
      <c r="H132" s="13">
        <f>ROUNDDOWN((H130+H115+H116)/(1-G117),2)</f>
        <v>7230.47</v>
      </c>
      <c r="I132" s="41"/>
      <c r="J132" s="5">
        <f>ROUNDDOWN((J130+J115+J116)/(1-I117),2)</f>
        <v>7823.69</v>
      </c>
      <c r="K132" s="41"/>
      <c r="L132" s="5">
        <f>ROUNDDOWN((L130+L115+L116)/(1-K117),2)</f>
        <v>8266.6299999999992</v>
      </c>
      <c r="M132" s="41"/>
      <c r="N132" s="5">
        <f>ROUNDDOWN((N130+N115+N116)/(1-M117),2)</f>
        <v>8701.6299999999992</v>
      </c>
      <c r="O132" s="42"/>
      <c r="P132" s="41"/>
      <c r="Q132" s="5">
        <f>ROUNDDOWN((Q130+Q115+Q116)/(1-P117),2)</f>
        <v>6844.38</v>
      </c>
      <c r="R132" s="42"/>
      <c r="S132" s="42"/>
    </row>
    <row r="133" spans="1:19" x14ac:dyDescent="0.2">
      <c r="A133" s="42"/>
      <c r="B133" s="42"/>
      <c r="C133" s="42"/>
      <c r="D133" s="42"/>
      <c r="E133" s="42"/>
      <c r="F133" s="42"/>
      <c r="G133" s="42"/>
      <c r="H133" s="42"/>
      <c r="I133" s="42"/>
      <c r="J133" s="83"/>
      <c r="K133" s="42"/>
      <c r="L133" s="83"/>
      <c r="M133" s="42"/>
      <c r="N133" s="83"/>
      <c r="O133" s="42"/>
      <c r="P133" s="42"/>
      <c r="Q133" s="83"/>
      <c r="R133" s="42"/>
      <c r="S133" s="42"/>
    </row>
    <row r="134" spans="1:19" x14ac:dyDescent="0.2">
      <c r="A134" s="42"/>
      <c r="B134" s="42"/>
      <c r="C134" s="42"/>
      <c r="D134" s="42"/>
      <c r="E134" s="42"/>
      <c r="F134" s="29"/>
      <c r="G134" s="42"/>
      <c r="H134" s="83"/>
      <c r="I134" s="42"/>
      <c r="J134" s="83">
        <v>7823.69</v>
      </c>
      <c r="K134" s="42"/>
      <c r="L134" s="83"/>
      <c r="M134" s="42"/>
      <c r="N134" s="83"/>
      <c r="O134" s="42"/>
      <c r="P134" s="42"/>
      <c r="Q134" s="83">
        <v>6480.07</v>
      </c>
      <c r="R134" s="42"/>
      <c r="S134" s="42"/>
    </row>
    <row r="135" spans="1:19" x14ac:dyDescent="0.2">
      <c r="A135" s="42"/>
      <c r="B135" s="42"/>
      <c r="C135" s="42"/>
      <c r="D135" s="42"/>
      <c r="E135" s="42"/>
      <c r="G135" s="42"/>
      <c r="H135" s="42"/>
      <c r="I135" s="42"/>
      <c r="J135" s="83"/>
      <c r="K135" s="42"/>
      <c r="L135" s="83"/>
      <c r="M135" s="42"/>
      <c r="N135" s="83"/>
      <c r="O135" s="42"/>
      <c r="P135" s="42"/>
      <c r="Q135" s="83"/>
      <c r="R135" s="42"/>
      <c r="S135" s="42"/>
    </row>
    <row r="136" spans="1:19" x14ac:dyDescent="0.2">
      <c r="A136" s="42"/>
      <c r="B136" s="42"/>
      <c r="C136" s="42"/>
      <c r="D136" s="42"/>
      <c r="E136" s="42"/>
      <c r="F136" s="42"/>
      <c r="G136" s="42"/>
      <c r="H136" s="83"/>
      <c r="I136" s="42"/>
      <c r="J136" s="42"/>
      <c r="K136" s="42"/>
      <c r="L136" s="42"/>
      <c r="M136" s="42"/>
      <c r="N136" s="42"/>
      <c r="O136" s="42"/>
      <c r="P136" s="42"/>
      <c r="Q136" s="83">
        <f>Q134/30</f>
        <v>216.00233333333333</v>
      </c>
      <c r="R136" s="42" t="s">
        <v>278</v>
      </c>
      <c r="S136" s="42"/>
    </row>
    <row r="137" spans="1:19" x14ac:dyDescent="0.2">
      <c r="A137" s="42"/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  <c r="O137" s="42"/>
      <c r="P137" s="42"/>
      <c r="Q137" s="83">
        <f>Q136*2</f>
        <v>432.00466666666665</v>
      </c>
      <c r="R137" s="42" t="s">
        <v>279</v>
      </c>
      <c r="S137" s="42"/>
    </row>
    <row r="138" spans="1:19" x14ac:dyDescent="0.2">
      <c r="A138" s="42"/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  <c r="O138" s="42"/>
      <c r="P138" s="42"/>
      <c r="Q138" s="42"/>
      <c r="R138" s="42"/>
      <c r="S138" s="42"/>
    </row>
    <row r="139" spans="1:19" x14ac:dyDescent="0.2">
      <c r="A139" s="42"/>
      <c r="B139" s="42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  <c r="O139" s="42"/>
      <c r="P139" s="42"/>
      <c r="Q139" s="42"/>
      <c r="R139" s="42"/>
      <c r="S139" s="42"/>
    </row>
    <row r="140" spans="1:19" x14ac:dyDescent="0.2">
      <c r="A140" s="42"/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  <c r="O140" s="42"/>
      <c r="P140" s="42"/>
      <c r="Q140" s="42"/>
      <c r="R140" s="42"/>
      <c r="S140" s="42"/>
    </row>
    <row r="141" spans="1:19" x14ac:dyDescent="0.2">
      <c r="A141" s="42"/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2"/>
      <c r="O141" s="42"/>
      <c r="P141" s="42"/>
      <c r="Q141" s="42"/>
      <c r="R141" s="42"/>
      <c r="S141" s="42"/>
    </row>
    <row r="142" spans="1:19" x14ac:dyDescent="0.2">
      <c r="A142" s="42"/>
      <c r="B142" s="42"/>
      <c r="C142" s="42"/>
      <c r="D142" s="42"/>
      <c r="E142" s="42"/>
      <c r="F142" s="42" t="s">
        <v>60</v>
      </c>
      <c r="G142" s="42"/>
      <c r="H142" s="42"/>
      <c r="I142" s="42"/>
      <c r="J142" s="42"/>
      <c r="K142" s="42"/>
      <c r="L142" s="42"/>
      <c r="M142" s="42"/>
      <c r="N142" s="42"/>
      <c r="O142" s="42"/>
      <c r="P142" s="42"/>
      <c r="Q142" s="42"/>
      <c r="R142" s="42"/>
      <c r="S142" s="42"/>
    </row>
    <row r="143" spans="1:19" x14ac:dyDescent="0.2">
      <c r="A143" s="42"/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  <c r="O143" s="42"/>
      <c r="P143" s="42"/>
      <c r="Q143" s="42"/>
      <c r="R143" s="42"/>
      <c r="S143" s="42"/>
    </row>
    <row r="144" spans="1:19" x14ac:dyDescent="0.2">
      <c r="A144" s="42"/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  <c r="O144" s="42"/>
      <c r="P144" s="42"/>
      <c r="Q144" s="42"/>
      <c r="R144" s="42"/>
      <c r="S144" s="42"/>
    </row>
    <row r="145" spans="1:19" x14ac:dyDescent="0.2">
      <c r="A145" s="42"/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  <c r="O145" s="42"/>
      <c r="P145" s="42"/>
      <c r="Q145" s="42"/>
      <c r="R145" s="42"/>
      <c r="S145" s="42"/>
    </row>
    <row r="146" spans="1:19" x14ac:dyDescent="0.2">
      <c r="A146" s="42"/>
      <c r="B146" s="42"/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2"/>
      <c r="O146" s="42"/>
      <c r="P146" s="42"/>
      <c r="Q146" s="42"/>
      <c r="R146" s="42"/>
      <c r="S146" s="42"/>
    </row>
    <row r="147" spans="1:19" x14ac:dyDescent="0.2">
      <c r="A147" s="42"/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2"/>
      <c r="O147" s="42"/>
      <c r="P147" s="42"/>
      <c r="Q147" s="42"/>
      <c r="R147" s="42"/>
      <c r="S147" s="42"/>
    </row>
    <row r="148" spans="1:19" x14ac:dyDescent="0.2">
      <c r="A148" s="42"/>
      <c r="B148" s="42"/>
      <c r="C148" s="42"/>
      <c r="D148" s="42"/>
      <c r="E148" s="42"/>
      <c r="F148" s="42"/>
      <c r="G148" s="42"/>
      <c r="H148" s="42"/>
      <c r="I148" s="42"/>
      <c r="J148" s="42"/>
      <c r="K148" s="42"/>
      <c r="L148" s="42"/>
      <c r="M148" s="42"/>
      <c r="N148" s="42"/>
      <c r="O148" s="42"/>
      <c r="P148" s="42"/>
      <c r="Q148" s="42"/>
      <c r="R148" s="42"/>
      <c r="S148" s="42"/>
    </row>
    <row r="149" spans="1:19" x14ac:dyDescent="0.2">
      <c r="A149" s="42"/>
      <c r="B149" s="42"/>
      <c r="C149" s="42"/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  <c r="O149" s="42"/>
      <c r="P149" s="42"/>
      <c r="Q149" s="42"/>
      <c r="R149" s="42"/>
      <c r="S149" s="42"/>
    </row>
    <row r="150" spans="1:19" x14ac:dyDescent="0.2">
      <c r="A150" s="42"/>
      <c r="B150" s="42"/>
      <c r="C150" s="42"/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2"/>
      <c r="O150" s="42"/>
      <c r="P150" s="42"/>
      <c r="Q150" s="42"/>
      <c r="R150" s="42"/>
      <c r="S150" s="42"/>
    </row>
    <row r="151" spans="1:19" x14ac:dyDescent="0.2">
      <c r="A151" s="42"/>
      <c r="B151" s="42"/>
      <c r="C151" s="42"/>
      <c r="D151" s="42"/>
      <c r="E151" s="42"/>
      <c r="F151" s="42"/>
      <c r="G151" s="42"/>
      <c r="H151" s="42"/>
      <c r="I151" s="42"/>
      <c r="J151" s="42"/>
      <c r="K151" s="42"/>
      <c r="L151" s="42"/>
      <c r="M151" s="42"/>
      <c r="N151" s="42"/>
      <c r="O151" s="42"/>
      <c r="P151" s="42"/>
      <c r="Q151" s="42"/>
      <c r="R151" s="42"/>
      <c r="S151" s="42"/>
    </row>
    <row r="152" spans="1:19" x14ac:dyDescent="0.2">
      <c r="A152" s="42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42"/>
      <c r="Q152" s="42"/>
      <c r="R152" s="42"/>
      <c r="S152" s="42"/>
    </row>
    <row r="153" spans="1:19" x14ac:dyDescent="0.2">
      <c r="A153" s="42"/>
      <c r="B153" s="42"/>
      <c r="C153" s="42"/>
      <c r="D153" s="42"/>
      <c r="E153" s="42"/>
      <c r="F153" s="42"/>
      <c r="G153" s="42"/>
      <c r="H153" s="42"/>
      <c r="I153" s="42"/>
      <c r="J153" s="42"/>
      <c r="K153" s="42"/>
      <c r="L153" s="42"/>
      <c r="M153" s="42"/>
      <c r="N153" s="42"/>
      <c r="O153" s="42"/>
      <c r="P153" s="42"/>
      <c r="Q153" s="42"/>
      <c r="R153" s="42"/>
      <c r="S153" s="42"/>
    </row>
    <row r="154" spans="1:19" x14ac:dyDescent="0.2">
      <c r="A154" s="42"/>
      <c r="B154" s="42"/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2"/>
      <c r="O154" s="42"/>
      <c r="P154" s="42"/>
      <c r="Q154" s="42"/>
      <c r="R154" s="42"/>
      <c r="S154" s="42"/>
    </row>
    <row r="155" spans="1:19" x14ac:dyDescent="0.2">
      <c r="A155" s="42"/>
      <c r="B155" s="42"/>
      <c r="C155" s="42"/>
      <c r="D155" s="42"/>
      <c r="E155" s="42"/>
      <c r="F155" s="42"/>
      <c r="G155" s="42"/>
      <c r="H155" s="42"/>
      <c r="I155" s="42"/>
      <c r="J155" s="42"/>
      <c r="K155" s="42"/>
      <c r="L155" s="42"/>
      <c r="M155" s="42"/>
      <c r="N155" s="42"/>
      <c r="O155" s="42"/>
      <c r="P155" s="42"/>
      <c r="Q155" s="42"/>
      <c r="R155" s="42"/>
      <c r="S155" s="42"/>
    </row>
    <row r="156" spans="1:19" x14ac:dyDescent="0.2">
      <c r="A156" s="42"/>
      <c r="B156" s="42"/>
      <c r="C156" s="42"/>
      <c r="D156" s="42"/>
      <c r="E156" s="42"/>
      <c r="F156" s="42"/>
      <c r="G156" s="42"/>
      <c r="H156" s="42"/>
      <c r="I156" s="42"/>
      <c r="J156" s="42"/>
      <c r="K156" s="42"/>
      <c r="L156" s="42"/>
      <c r="M156" s="42"/>
      <c r="N156" s="42"/>
      <c r="O156" s="42"/>
      <c r="P156" s="42"/>
      <c r="Q156" s="42"/>
      <c r="R156" s="42"/>
      <c r="S156" s="42"/>
    </row>
    <row r="157" spans="1:19" x14ac:dyDescent="0.2">
      <c r="A157" s="42"/>
      <c r="B157" s="42"/>
      <c r="C157" s="42"/>
      <c r="D157" s="42"/>
      <c r="E157" s="42"/>
      <c r="F157" s="42"/>
      <c r="G157" s="42"/>
      <c r="H157" s="42"/>
      <c r="I157" s="42"/>
      <c r="J157" s="42"/>
      <c r="K157" s="42"/>
      <c r="L157" s="42"/>
      <c r="M157" s="42"/>
      <c r="N157" s="42"/>
      <c r="O157" s="42"/>
      <c r="P157" s="42"/>
      <c r="Q157" s="42"/>
      <c r="R157" s="42"/>
      <c r="S157" s="42"/>
    </row>
    <row r="158" spans="1:19" x14ac:dyDescent="0.2">
      <c r="A158" s="42"/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2"/>
      <c r="O158" s="42"/>
      <c r="P158" s="42"/>
      <c r="Q158" s="42"/>
      <c r="R158" s="42"/>
      <c r="S158" s="42"/>
    </row>
    <row r="159" spans="1:19" x14ac:dyDescent="0.2">
      <c r="A159" s="42"/>
      <c r="B159" s="42"/>
      <c r="C159" s="42"/>
      <c r="D159" s="42"/>
      <c r="E159" s="42"/>
      <c r="F159" s="42"/>
      <c r="G159" s="42"/>
      <c r="H159" s="42"/>
      <c r="I159" s="42"/>
      <c r="J159" s="42"/>
      <c r="K159" s="42"/>
      <c r="L159" s="42"/>
      <c r="M159" s="42"/>
      <c r="N159" s="42"/>
      <c r="O159" s="42"/>
      <c r="P159" s="42"/>
      <c r="Q159" s="42"/>
      <c r="R159" s="42"/>
      <c r="S159" s="42"/>
    </row>
    <row r="160" spans="1:19" x14ac:dyDescent="0.2">
      <c r="A160" s="42"/>
      <c r="B160" s="42"/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  <c r="O160" s="42"/>
      <c r="P160" s="42"/>
      <c r="Q160" s="42"/>
      <c r="R160" s="42"/>
      <c r="S160" s="42"/>
    </row>
    <row r="161" spans="1:19" x14ac:dyDescent="0.2">
      <c r="A161" s="42"/>
      <c r="B161" s="42"/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42"/>
      <c r="N161" s="42"/>
      <c r="O161" s="42"/>
      <c r="P161" s="42"/>
      <c r="Q161" s="42"/>
      <c r="R161" s="42"/>
      <c r="S161" s="42"/>
    </row>
    <row r="162" spans="1:19" x14ac:dyDescent="0.2">
      <c r="A162" s="42"/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  <c r="O162" s="42"/>
      <c r="P162" s="42"/>
      <c r="Q162" s="42"/>
      <c r="R162" s="42"/>
      <c r="S162" s="42"/>
    </row>
    <row r="163" spans="1:19" x14ac:dyDescent="0.2">
      <c r="A163" s="42"/>
      <c r="B163" s="42"/>
      <c r="C163" s="42"/>
      <c r="D163" s="42"/>
      <c r="E163" s="42"/>
      <c r="F163" s="42"/>
      <c r="G163" s="42"/>
      <c r="H163" s="42"/>
      <c r="I163" s="42"/>
      <c r="J163" s="42"/>
      <c r="K163" s="42"/>
      <c r="L163" s="42"/>
      <c r="M163" s="42"/>
      <c r="N163" s="42"/>
      <c r="O163" s="42"/>
      <c r="P163" s="42"/>
      <c r="Q163" s="42"/>
      <c r="R163" s="42"/>
      <c r="S163" s="42"/>
    </row>
    <row r="164" spans="1:19" x14ac:dyDescent="0.2">
      <c r="A164" s="42"/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  <c r="O164" s="42"/>
      <c r="P164" s="42"/>
      <c r="Q164" s="42"/>
      <c r="R164" s="42"/>
      <c r="S164" s="42"/>
    </row>
    <row r="165" spans="1:19" x14ac:dyDescent="0.2">
      <c r="A165" s="42"/>
      <c r="B165" s="42"/>
      <c r="C165" s="42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2"/>
      <c r="O165" s="42"/>
      <c r="P165" s="42"/>
      <c r="Q165" s="42"/>
      <c r="R165" s="42"/>
      <c r="S165" s="42"/>
    </row>
    <row r="166" spans="1:19" x14ac:dyDescent="0.2">
      <c r="A166" s="42"/>
      <c r="B166" s="42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  <c r="O166" s="42"/>
      <c r="P166" s="42"/>
      <c r="Q166" s="42"/>
      <c r="R166" s="42"/>
      <c r="S166" s="42"/>
    </row>
    <row r="167" spans="1:19" x14ac:dyDescent="0.2">
      <c r="A167" s="42"/>
      <c r="B167" s="42"/>
      <c r="C167" s="42"/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2"/>
      <c r="O167" s="42"/>
      <c r="P167" s="42"/>
      <c r="Q167" s="42"/>
      <c r="R167" s="42"/>
      <c r="S167" s="42"/>
    </row>
    <row r="168" spans="1:19" x14ac:dyDescent="0.2">
      <c r="A168" s="42"/>
      <c r="B168" s="42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42"/>
      <c r="Q168" s="42"/>
      <c r="R168" s="42"/>
      <c r="S168" s="42"/>
    </row>
    <row r="169" spans="1:19" x14ac:dyDescent="0.2">
      <c r="A169" s="42"/>
      <c r="B169" s="42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  <c r="O169" s="42"/>
      <c r="P169" s="42"/>
      <c r="Q169" s="42"/>
      <c r="R169" s="42"/>
      <c r="S169" s="42"/>
    </row>
    <row r="170" spans="1:19" x14ac:dyDescent="0.2">
      <c r="A170" s="42"/>
      <c r="B170" s="42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42"/>
      <c r="Q170" s="42"/>
      <c r="R170" s="42"/>
      <c r="S170" s="42"/>
    </row>
    <row r="171" spans="1:19" x14ac:dyDescent="0.2">
      <c r="A171" s="42"/>
      <c r="B171" s="42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  <c r="P171" s="42"/>
      <c r="Q171" s="42"/>
      <c r="R171" s="42"/>
      <c r="S171" s="42"/>
    </row>
    <row r="172" spans="1:19" x14ac:dyDescent="0.2">
      <c r="A172" s="42"/>
      <c r="B172" s="42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42"/>
      <c r="Q172" s="42"/>
      <c r="R172" s="42"/>
      <c r="S172" s="42"/>
    </row>
    <row r="173" spans="1:19" x14ac:dyDescent="0.2">
      <c r="A173" s="42"/>
      <c r="B173" s="42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42"/>
      <c r="Q173" s="42"/>
      <c r="R173" s="42"/>
      <c r="S173" s="42"/>
    </row>
    <row r="174" spans="1:19" x14ac:dyDescent="0.2">
      <c r="A174" s="42"/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42"/>
      <c r="Q174" s="42"/>
      <c r="R174" s="42"/>
      <c r="S174" s="42"/>
    </row>
    <row r="175" spans="1:19" x14ac:dyDescent="0.2">
      <c r="A175" s="42"/>
      <c r="B175" s="42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  <c r="O175" s="42"/>
      <c r="P175" s="42"/>
      <c r="Q175" s="42"/>
      <c r="R175" s="42"/>
      <c r="S175" s="42"/>
    </row>
    <row r="176" spans="1:19" x14ac:dyDescent="0.2">
      <c r="A176" s="42"/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42"/>
      <c r="Q176" s="42"/>
      <c r="R176" s="42"/>
      <c r="S176" s="42"/>
    </row>
    <row r="177" spans="1:19" x14ac:dyDescent="0.2">
      <c r="A177" s="42"/>
      <c r="B177" s="42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42"/>
      <c r="Q177" s="42"/>
      <c r="R177" s="42"/>
      <c r="S177" s="42"/>
    </row>
    <row r="178" spans="1:19" x14ac:dyDescent="0.2">
      <c r="A178" s="42"/>
      <c r="B178" s="42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42"/>
      <c r="Q178" s="42"/>
      <c r="R178" s="42"/>
      <c r="S178" s="42"/>
    </row>
    <row r="179" spans="1:19" x14ac:dyDescent="0.2">
      <c r="A179" s="42"/>
      <c r="B179" s="42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  <c r="O179" s="42"/>
      <c r="P179" s="42"/>
      <c r="Q179" s="42"/>
      <c r="R179" s="42"/>
      <c r="S179" s="42"/>
    </row>
    <row r="180" spans="1:19" x14ac:dyDescent="0.2">
      <c r="A180" s="42"/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42"/>
      <c r="Q180" s="42"/>
      <c r="R180" s="42"/>
      <c r="S180" s="42"/>
    </row>
    <row r="181" spans="1:19" x14ac:dyDescent="0.2">
      <c r="A181" s="42"/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42"/>
      <c r="Q181" s="42"/>
      <c r="R181" s="42"/>
      <c r="S181" s="42"/>
    </row>
    <row r="182" spans="1:19" x14ac:dyDescent="0.2">
      <c r="A182" s="42"/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42"/>
      <c r="Q182" s="42"/>
      <c r="R182" s="42"/>
      <c r="S182" s="42"/>
    </row>
    <row r="183" spans="1:19" x14ac:dyDescent="0.2">
      <c r="A183" s="42"/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42"/>
      <c r="Q183" s="42"/>
      <c r="R183" s="42"/>
      <c r="S183" s="42"/>
    </row>
    <row r="184" spans="1:19" x14ac:dyDescent="0.2">
      <c r="A184" s="42"/>
      <c r="B184" s="42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42"/>
      <c r="Q184" s="42"/>
      <c r="R184" s="42"/>
      <c r="S184" s="42"/>
    </row>
    <row r="185" spans="1:19" x14ac:dyDescent="0.2">
      <c r="A185" s="42"/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42"/>
      <c r="Q185" s="42"/>
      <c r="R185" s="42"/>
      <c r="S185" s="42"/>
    </row>
    <row r="186" spans="1:19" x14ac:dyDescent="0.2">
      <c r="A186" s="42"/>
      <c r="B186" s="42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42"/>
      <c r="Q186" s="42"/>
      <c r="R186" s="42"/>
      <c r="S186" s="42"/>
    </row>
    <row r="187" spans="1:19" x14ac:dyDescent="0.2">
      <c r="A187" s="42"/>
      <c r="B187" s="42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42"/>
      <c r="Q187" s="42"/>
      <c r="R187" s="42"/>
      <c r="S187" s="42"/>
    </row>
    <row r="188" spans="1:19" x14ac:dyDescent="0.2">
      <c r="A188" s="42"/>
      <c r="B188" s="42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42"/>
      <c r="Q188" s="42"/>
      <c r="R188" s="42"/>
      <c r="S188" s="42"/>
    </row>
    <row r="189" spans="1:19" x14ac:dyDescent="0.2">
      <c r="A189" s="42"/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42"/>
      <c r="Q189" s="42"/>
      <c r="R189" s="42"/>
      <c r="S189" s="42"/>
    </row>
    <row r="190" spans="1:19" x14ac:dyDescent="0.2">
      <c r="A190" s="42"/>
      <c r="B190" s="42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42"/>
      <c r="Q190" s="42"/>
      <c r="R190" s="42"/>
      <c r="S190" s="42"/>
    </row>
    <row r="191" spans="1:19" x14ac:dyDescent="0.2">
      <c r="A191" s="42"/>
      <c r="B191" s="42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42"/>
      <c r="Q191" s="42"/>
      <c r="R191" s="42"/>
      <c r="S191" s="42"/>
    </row>
    <row r="192" spans="1:19" x14ac:dyDescent="0.2">
      <c r="A192" s="42"/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42"/>
      <c r="Q192" s="42"/>
      <c r="R192" s="42"/>
      <c r="S192" s="42"/>
    </row>
    <row r="193" spans="1:19" x14ac:dyDescent="0.2">
      <c r="A193" s="42"/>
      <c r="B193" s="42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42"/>
      <c r="Q193" s="42"/>
      <c r="R193" s="42"/>
      <c r="S193" s="42"/>
    </row>
    <row r="194" spans="1:19" x14ac:dyDescent="0.2">
      <c r="A194" s="42"/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42"/>
      <c r="Q194" s="42"/>
      <c r="R194" s="42"/>
      <c r="S194" s="42"/>
    </row>
    <row r="195" spans="1:19" x14ac:dyDescent="0.2">
      <c r="A195" s="42"/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42"/>
      <c r="Q195" s="42"/>
      <c r="R195" s="42"/>
      <c r="S195" s="42"/>
    </row>
    <row r="196" spans="1:19" x14ac:dyDescent="0.2">
      <c r="A196" s="42"/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42"/>
      <c r="Q196" s="42"/>
      <c r="R196" s="42"/>
      <c r="S196" s="42"/>
    </row>
    <row r="197" spans="1:19" x14ac:dyDescent="0.2">
      <c r="A197" s="42"/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42"/>
      <c r="Q197" s="42"/>
      <c r="R197" s="42"/>
      <c r="S197" s="42"/>
    </row>
    <row r="198" spans="1:19" x14ac:dyDescent="0.2">
      <c r="A198" s="42"/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42"/>
      <c r="Q198" s="42"/>
      <c r="R198" s="42"/>
      <c r="S198" s="42"/>
    </row>
    <row r="199" spans="1:19" x14ac:dyDescent="0.2">
      <c r="A199" s="42"/>
      <c r="B199" s="42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42"/>
      <c r="Q199" s="42"/>
      <c r="R199" s="42"/>
      <c r="S199" s="42"/>
    </row>
    <row r="200" spans="1:19" x14ac:dyDescent="0.2">
      <c r="A200" s="42"/>
      <c r="B200" s="42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42"/>
      <c r="Q200" s="42"/>
      <c r="R200" s="42"/>
      <c r="S200" s="42"/>
    </row>
    <row r="201" spans="1:19" x14ac:dyDescent="0.2">
      <c r="A201" s="42"/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42"/>
      <c r="Q201" s="42"/>
      <c r="R201" s="42"/>
      <c r="S201" s="42"/>
    </row>
    <row r="202" spans="1:19" x14ac:dyDescent="0.2">
      <c r="A202" s="42"/>
      <c r="B202" s="42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42"/>
      <c r="Q202" s="42"/>
      <c r="R202" s="42"/>
      <c r="S202" s="42"/>
    </row>
    <row r="203" spans="1:19" x14ac:dyDescent="0.2">
      <c r="A203" s="42"/>
      <c r="B203" s="42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42"/>
      <c r="Q203" s="42"/>
      <c r="R203" s="42"/>
      <c r="S203" s="42"/>
    </row>
    <row r="204" spans="1:19" x14ac:dyDescent="0.2">
      <c r="A204" s="42"/>
      <c r="B204" s="42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42"/>
      <c r="Q204" s="42"/>
      <c r="R204" s="42"/>
      <c r="S204" s="42"/>
    </row>
    <row r="205" spans="1:19" x14ac:dyDescent="0.2">
      <c r="A205" s="42"/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42"/>
      <c r="Q205" s="42"/>
      <c r="R205" s="42"/>
      <c r="S205" s="42"/>
    </row>
    <row r="206" spans="1:19" x14ac:dyDescent="0.2">
      <c r="A206" s="42"/>
      <c r="B206" s="42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42"/>
      <c r="Q206" s="42"/>
      <c r="R206" s="42"/>
      <c r="S206" s="42"/>
    </row>
    <row r="207" spans="1:19" x14ac:dyDescent="0.2">
      <c r="A207" s="42"/>
      <c r="B207" s="42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42"/>
      <c r="Q207" s="42"/>
      <c r="R207" s="42"/>
      <c r="S207" s="42"/>
    </row>
    <row r="208" spans="1:19" x14ac:dyDescent="0.2">
      <c r="A208" s="42"/>
      <c r="B208" s="42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42"/>
      <c r="Q208" s="42"/>
      <c r="R208" s="42"/>
      <c r="S208" s="42"/>
    </row>
    <row r="209" spans="1:19" x14ac:dyDescent="0.2">
      <c r="A209" s="42"/>
      <c r="B209" s="42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42"/>
      <c r="Q209" s="42"/>
      <c r="R209" s="42"/>
      <c r="S209" s="42"/>
    </row>
    <row r="210" spans="1:19" x14ac:dyDescent="0.2">
      <c r="A210" s="42"/>
      <c r="B210" s="42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42"/>
      <c r="Q210" s="42"/>
      <c r="R210" s="42"/>
      <c r="S210" s="42"/>
    </row>
    <row r="211" spans="1:19" x14ac:dyDescent="0.2">
      <c r="A211" s="42"/>
      <c r="B211" s="42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42"/>
      <c r="Q211" s="42"/>
      <c r="R211" s="42"/>
      <c r="S211" s="42"/>
    </row>
    <row r="212" spans="1:19" x14ac:dyDescent="0.2">
      <c r="A212" s="42"/>
      <c r="B212" s="42"/>
      <c r="C212" s="42"/>
      <c r="D212" s="42"/>
      <c r="E212" s="42"/>
      <c r="F212" s="42"/>
      <c r="G212" s="42"/>
      <c r="H212" s="42"/>
      <c r="I212" s="42"/>
      <c r="J212" s="42"/>
      <c r="K212" s="42"/>
      <c r="L212" s="42"/>
      <c r="M212" s="42"/>
      <c r="N212" s="42"/>
      <c r="O212" s="42"/>
      <c r="P212" s="42"/>
      <c r="Q212" s="42"/>
      <c r="R212" s="42"/>
      <c r="S212" s="42"/>
    </row>
    <row r="213" spans="1:19" x14ac:dyDescent="0.2">
      <c r="A213" s="42"/>
      <c r="B213" s="42"/>
      <c r="C213" s="42"/>
      <c r="D213" s="42"/>
      <c r="E213" s="42"/>
      <c r="F213" s="42"/>
      <c r="G213" s="42"/>
      <c r="H213" s="42"/>
      <c r="I213" s="42"/>
      <c r="J213" s="42"/>
      <c r="K213" s="42"/>
      <c r="L213" s="42"/>
      <c r="M213" s="42"/>
      <c r="N213" s="42"/>
      <c r="O213" s="42"/>
      <c r="P213" s="42"/>
      <c r="Q213" s="42"/>
      <c r="R213" s="42"/>
      <c r="S213" s="42"/>
    </row>
    <row r="214" spans="1:19" x14ac:dyDescent="0.2">
      <c r="A214" s="42"/>
      <c r="B214" s="42"/>
      <c r="C214" s="42"/>
      <c r="D214" s="42"/>
      <c r="E214" s="42"/>
      <c r="F214" s="42"/>
      <c r="G214" s="42"/>
      <c r="H214" s="42"/>
      <c r="I214" s="42"/>
      <c r="J214" s="42"/>
      <c r="K214" s="42"/>
      <c r="L214" s="42"/>
      <c r="M214" s="42"/>
      <c r="N214" s="42"/>
      <c r="O214" s="42"/>
      <c r="P214" s="42"/>
      <c r="Q214" s="42"/>
      <c r="R214" s="42"/>
      <c r="S214" s="42"/>
    </row>
    <row r="215" spans="1:19" x14ac:dyDescent="0.2">
      <c r="A215" s="42"/>
      <c r="B215" s="42"/>
      <c r="C215" s="42"/>
      <c r="D215" s="42"/>
      <c r="E215" s="42"/>
      <c r="F215" s="42"/>
      <c r="G215" s="42"/>
      <c r="H215" s="42"/>
      <c r="I215" s="42"/>
      <c r="J215" s="42"/>
      <c r="K215" s="42"/>
      <c r="L215" s="42"/>
      <c r="M215" s="42"/>
      <c r="N215" s="42"/>
      <c r="O215" s="42"/>
      <c r="P215" s="42"/>
      <c r="Q215" s="42"/>
      <c r="R215" s="42"/>
      <c r="S215" s="42"/>
    </row>
    <row r="216" spans="1:19" x14ac:dyDescent="0.2">
      <c r="A216" s="42"/>
      <c r="B216" s="42"/>
      <c r="C216" s="42"/>
      <c r="D216" s="42"/>
      <c r="E216" s="42"/>
      <c r="F216" s="42"/>
      <c r="G216" s="42"/>
      <c r="H216" s="42"/>
      <c r="I216" s="42"/>
      <c r="J216" s="42"/>
      <c r="K216" s="42"/>
      <c r="L216" s="42"/>
      <c r="M216" s="42"/>
      <c r="N216" s="42"/>
      <c r="O216" s="42"/>
      <c r="P216" s="42"/>
      <c r="Q216" s="42"/>
      <c r="R216" s="42"/>
      <c r="S216" s="42"/>
    </row>
    <row r="217" spans="1:19" x14ac:dyDescent="0.2">
      <c r="A217" s="42"/>
      <c r="B217" s="42"/>
      <c r="C217" s="42"/>
      <c r="D217" s="42"/>
      <c r="E217" s="42"/>
      <c r="F217" s="42"/>
      <c r="G217" s="42"/>
      <c r="H217" s="42"/>
      <c r="I217" s="42"/>
      <c r="J217" s="42"/>
      <c r="K217" s="42"/>
      <c r="L217" s="42"/>
      <c r="M217" s="42"/>
      <c r="N217" s="42"/>
      <c r="O217" s="42"/>
      <c r="P217" s="42"/>
      <c r="Q217" s="42"/>
      <c r="R217" s="42"/>
      <c r="S217" s="42"/>
    </row>
    <row r="218" spans="1:19" x14ac:dyDescent="0.2">
      <c r="A218" s="42"/>
      <c r="B218" s="42"/>
      <c r="C218" s="42"/>
      <c r="D218" s="42"/>
      <c r="E218" s="42"/>
      <c r="F218" s="42"/>
      <c r="G218" s="42"/>
      <c r="H218" s="42"/>
      <c r="I218" s="42"/>
      <c r="J218" s="42"/>
      <c r="K218" s="42"/>
      <c r="L218" s="42"/>
      <c r="M218" s="42"/>
      <c r="N218" s="42"/>
      <c r="O218" s="42"/>
      <c r="P218" s="42"/>
      <c r="Q218" s="42"/>
      <c r="R218" s="42"/>
      <c r="S218" s="42"/>
    </row>
    <row r="219" spans="1:19" x14ac:dyDescent="0.2">
      <c r="A219" s="42"/>
      <c r="B219" s="42"/>
      <c r="C219" s="42"/>
      <c r="D219" s="42"/>
      <c r="E219" s="42"/>
      <c r="F219" s="42"/>
      <c r="G219" s="42"/>
      <c r="H219" s="42"/>
      <c r="I219" s="42"/>
      <c r="J219" s="42"/>
      <c r="K219" s="42"/>
      <c r="L219" s="42"/>
      <c r="M219" s="42"/>
      <c r="N219" s="42"/>
      <c r="O219" s="42"/>
      <c r="P219" s="42"/>
      <c r="Q219" s="42"/>
      <c r="R219" s="42"/>
      <c r="S219" s="42"/>
    </row>
    <row r="220" spans="1:19" x14ac:dyDescent="0.2">
      <c r="A220" s="42"/>
      <c r="B220" s="42"/>
      <c r="C220" s="42"/>
      <c r="D220" s="42"/>
      <c r="E220" s="42"/>
      <c r="F220" s="42"/>
      <c r="G220" s="42"/>
      <c r="H220" s="42"/>
      <c r="I220" s="42"/>
      <c r="J220" s="42"/>
      <c r="K220" s="42"/>
      <c r="L220" s="42"/>
      <c r="M220" s="42"/>
      <c r="N220" s="42"/>
      <c r="O220" s="42"/>
      <c r="P220" s="42"/>
      <c r="Q220" s="42"/>
      <c r="R220" s="42"/>
      <c r="S220" s="42"/>
    </row>
    <row r="221" spans="1:19" x14ac:dyDescent="0.2">
      <c r="A221" s="42"/>
      <c r="B221" s="42"/>
      <c r="C221" s="42"/>
      <c r="D221" s="42"/>
      <c r="E221" s="42"/>
      <c r="F221" s="42"/>
      <c r="G221" s="42"/>
      <c r="H221" s="42"/>
      <c r="I221" s="42"/>
      <c r="J221" s="42"/>
      <c r="K221" s="42"/>
      <c r="L221" s="42"/>
      <c r="M221" s="42"/>
      <c r="N221" s="42"/>
      <c r="O221" s="42"/>
      <c r="P221" s="42"/>
      <c r="Q221" s="42"/>
      <c r="R221" s="42"/>
      <c r="S221" s="42"/>
    </row>
    <row r="222" spans="1:19" x14ac:dyDescent="0.2">
      <c r="A222" s="42"/>
      <c r="B222" s="42"/>
      <c r="C222" s="42"/>
      <c r="D222" s="42"/>
      <c r="E222" s="42"/>
      <c r="F222" s="42"/>
      <c r="G222" s="42"/>
      <c r="H222" s="42"/>
      <c r="I222" s="42"/>
      <c r="J222" s="42"/>
      <c r="K222" s="42"/>
      <c r="L222" s="42"/>
      <c r="M222" s="42"/>
      <c r="N222" s="42"/>
      <c r="O222" s="42"/>
      <c r="P222" s="42"/>
      <c r="Q222" s="42"/>
      <c r="R222" s="42"/>
      <c r="S222" s="42"/>
    </row>
    <row r="223" spans="1:19" x14ac:dyDescent="0.2">
      <c r="A223" s="42"/>
      <c r="B223" s="42"/>
      <c r="C223" s="42"/>
      <c r="D223" s="42"/>
      <c r="E223" s="42"/>
      <c r="F223" s="42"/>
      <c r="G223" s="42"/>
      <c r="H223" s="42"/>
      <c r="I223" s="42"/>
      <c r="J223" s="42"/>
      <c r="K223" s="42"/>
      <c r="L223" s="42"/>
      <c r="M223" s="42"/>
      <c r="N223" s="42"/>
      <c r="O223" s="42"/>
      <c r="P223" s="42"/>
      <c r="Q223" s="42"/>
      <c r="R223" s="42"/>
      <c r="S223" s="42"/>
    </row>
    <row r="224" spans="1:19" x14ac:dyDescent="0.2">
      <c r="A224" s="42"/>
      <c r="B224" s="42"/>
      <c r="C224" s="42"/>
      <c r="D224" s="42"/>
      <c r="E224" s="42"/>
      <c r="F224" s="42"/>
      <c r="G224" s="42"/>
      <c r="H224" s="42"/>
      <c r="I224" s="42"/>
      <c r="J224" s="42"/>
      <c r="K224" s="42"/>
      <c r="L224" s="42"/>
      <c r="M224" s="42"/>
      <c r="N224" s="42"/>
      <c r="O224" s="42"/>
      <c r="P224" s="42"/>
      <c r="Q224" s="42"/>
      <c r="R224" s="42"/>
      <c r="S224" s="42"/>
    </row>
    <row r="225" spans="1:19" x14ac:dyDescent="0.2">
      <c r="A225" s="42"/>
      <c r="B225" s="42"/>
      <c r="C225" s="42"/>
      <c r="D225" s="42"/>
      <c r="E225" s="42"/>
      <c r="F225" s="42"/>
      <c r="G225" s="42"/>
      <c r="H225" s="42"/>
      <c r="I225" s="42"/>
      <c r="J225" s="42"/>
      <c r="K225" s="42"/>
      <c r="L225" s="42"/>
      <c r="M225" s="42"/>
      <c r="N225" s="42"/>
      <c r="O225" s="42"/>
      <c r="P225" s="42"/>
      <c r="Q225" s="42"/>
      <c r="R225" s="42"/>
      <c r="S225" s="42"/>
    </row>
    <row r="226" spans="1:19" x14ac:dyDescent="0.2">
      <c r="A226" s="42"/>
      <c r="B226" s="42"/>
      <c r="C226" s="42"/>
      <c r="D226" s="42"/>
      <c r="E226" s="42"/>
      <c r="F226" s="42"/>
      <c r="G226" s="42"/>
      <c r="H226" s="42"/>
      <c r="I226" s="42"/>
      <c r="J226" s="42"/>
      <c r="K226" s="42"/>
      <c r="L226" s="42"/>
      <c r="M226" s="42"/>
      <c r="N226" s="42"/>
      <c r="O226" s="42"/>
      <c r="P226" s="42"/>
      <c r="Q226" s="42"/>
      <c r="R226" s="42"/>
      <c r="S226" s="42"/>
    </row>
    <row r="227" spans="1:19" x14ac:dyDescent="0.2">
      <c r="A227" s="42"/>
      <c r="B227" s="42"/>
      <c r="C227" s="42"/>
      <c r="D227" s="42"/>
      <c r="E227" s="42"/>
      <c r="F227" s="42"/>
      <c r="G227" s="42"/>
      <c r="H227" s="42"/>
      <c r="I227" s="42"/>
      <c r="J227" s="42"/>
      <c r="K227" s="42"/>
      <c r="L227" s="42"/>
      <c r="M227" s="42"/>
      <c r="N227" s="42"/>
      <c r="O227" s="42"/>
      <c r="P227" s="42"/>
      <c r="Q227" s="42"/>
      <c r="R227" s="42"/>
      <c r="S227" s="42"/>
    </row>
    <row r="228" spans="1:19" x14ac:dyDescent="0.2">
      <c r="A228" s="42"/>
      <c r="B228" s="42"/>
      <c r="C228" s="42"/>
      <c r="D228" s="42"/>
      <c r="E228" s="42"/>
      <c r="F228" s="42"/>
      <c r="G228" s="42"/>
      <c r="H228" s="42"/>
      <c r="I228" s="42"/>
      <c r="J228" s="42"/>
      <c r="K228" s="42"/>
      <c r="L228" s="42"/>
      <c r="M228" s="42"/>
      <c r="N228" s="42"/>
      <c r="O228" s="42"/>
      <c r="P228" s="42"/>
      <c r="Q228" s="42"/>
      <c r="R228" s="42"/>
      <c r="S228" s="42"/>
    </row>
    <row r="229" spans="1:19" x14ac:dyDescent="0.2">
      <c r="A229" s="42"/>
      <c r="B229" s="42"/>
      <c r="C229" s="42"/>
      <c r="D229" s="42"/>
      <c r="E229" s="42"/>
      <c r="F229" s="42"/>
      <c r="G229" s="42"/>
      <c r="H229" s="42"/>
      <c r="I229" s="42"/>
      <c r="J229" s="42"/>
      <c r="K229" s="42"/>
      <c r="L229" s="42"/>
      <c r="M229" s="42"/>
      <c r="N229" s="42"/>
      <c r="O229" s="42"/>
      <c r="P229" s="42"/>
      <c r="Q229" s="42"/>
      <c r="R229" s="42"/>
      <c r="S229" s="42"/>
    </row>
    <row r="230" spans="1:19" x14ac:dyDescent="0.2">
      <c r="A230" s="42"/>
      <c r="B230" s="42"/>
      <c r="C230" s="42"/>
      <c r="D230" s="42"/>
      <c r="E230" s="42"/>
      <c r="F230" s="42"/>
      <c r="G230" s="42"/>
      <c r="H230" s="42"/>
      <c r="I230" s="42"/>
      <c r="J230" s="42"/>
      <c r="K230" s="42"/>
      <c r="L230" s="42"/>
      <c r="M230" s="42"/>
      <c r="N230" s="42"/>
      <c r="O230" s="42"/>
      <c r="P230" s="42"/>
      <c r="Q230" s="42"/>
      <c r="R230" s="42"/>
      <c r="S230" s="42"/>
    </row>
    <row r="231" spans="1:19" x14ac:dyDescent="0.2">
      <c r="J231" s="42"/>
      <c r="L231" s="42"/>
      <c r="N231" s="42"/>
      <c r="O231" s="42"/>
      <c r="Q231" s="42"/>
      <c r="R231" s="42"/>
      <c r="S231" s="42"/>
    </row>
    <row r="232" spans="1:19" x14ac:dyDescent="0.2">
      <c r="O232" s="42"/>
      <c r="R232" s="42"/>
      <c r="S232" s="42"/>
    </row>
  </sheetData>
  <mergeCells count="132">
    <mergeCell ref="B2:N2"/>
    <mergeCell ref="B3:N3"/>
    <mergeCell ref="B4:N4"/>
    <mergeCell ref="B5:N5"/>
    <mergeCell ref="B6:N6"/>
    <mergeCell ref="C7:E7"/>
    <mergeCell ref="F7:N7"/>
    <mergeCell ref="C8:E8"/>
    <mergeCell ref="F8:N8"/>
    <mergeCell ref="B10:N10"/>
    <mergeCell ref="C11:E11"/>
    <mergeCell ref="F11:N11"/>
    <mergeCell ref="C13:E13"/>
    <mergeCell ref="F13:N13"/>
    <mergeCell ref="C12:E12"/>
    <mergeCell ref="F12:N12"/>
    <mergeCell ref="C14:E14"/>
    <mergeCell ref="F14:N14"/>
    <mergeCell ref="C15:E15"/>
    <mergeCell ref="F15:N15"/>
    <mergeCell ref="B17:N17"/>
    <mergeCell ref="B18:C18"/>
    <mergeCell ref="E18:G18"/>
    <mergeCell ref="H18:N18"/>
    <mergeCell ref="B19:C19"/>
    <mergeCell ref="E19:G19"/>
    <mergeCell ref="H19:N19"/>
    <mergeCell ref="B20:N20"/>
    <mergeCell ref="B21:N22"/>
    <mergeCell ref="C23:E23"/>
    <mergeCell ref="F23:N23"/>
    <mergeCell ref="C24:E24"/>
    <mergeCell ref="F24:N24"/>
    <mergeCell ref="C25:E25"/>
    <mergeCell ref="F25:N25"/>
    <mergeCell ref="C26:E26"/>
    <mergeCell ref="F26:N26"/>
    <mergeCell ref="B28:N28"/>
    <mergeCell ref="C29:D29"/>
    <mergeCell ref="C30:D30"/>
    <mergeCell ref="C31:D31"/>
    <mergeCell ref="C32:D32"/>
    <mergeCell ref="C33:D33"/>
    <mergeCell ref="C34:D34"/>
    <mergeCell ref="C35:D35"/>
    <mergeCell ref="C36:D36"/>
    <mergeCell ref="C37:E37"/>
    <mergeCell ref="B39:N39"/>
    <mergeCell ref="B40:N40"/>
    <mergeCell ref="C41:E41"/>
    <mergeCell ref="C42:D42"/>
    <mergeCell ref="C43:D43"/>
    <mergeCell ref="B44:D44"/>
    <mergeCell ref="B46:N46"/>
    <mergeCell ref="C47:D47"/>
    <mergeCell ref="C48:D48"/>
    <mergeCell ref="C49:D49"/>
    <mergeCell ref="C50:D50"/>
    <mergeCell ref="C51:D51"/>
    <mergeCell ref="C52:D52"/>
    <mergeCell ref="C53:D53"/>
    <mergeCell ref="C54:D54"/>
    <mergeCell ref="C55:D55"/>
    <mergeCell ref="B56:D56"/>
    <mergeCell ref="B58:N58"/>
    <mergeCell ref="C59:D59"/>
    <mergeCell ref="C60:D60"/>
    <mergeCell ref="C61:D61"/>
    <mergeCell ref="C62:D62"/>
    <mergeCell ref="C63:D63"/>
    <mergeCell ref="B64:E64"/>
    <mergeCell ref="B66:N66"/>
    <mergeCell ref="C67:D67"/>
    <mergeCell ref="C68:D68"/>
    <mergeCell ref="C69:D69"/>
    <mergeCell ref="C70:D70"/>
    <mergeCell ref="B71:D71"/>
    <mergeCell ref="B73:N73"/>
    <mergeCell ref="C74:D74"/>
    <mergeCell ref="C75:D75"/>
    <mergeCell ref="C76:D76"/>
    <mergeCell ref="C77:D77"/>
    <mergeCell ref="C78:D78"/>
    <mergeCell ref="C79:D79"/>
    <mergeCell ref="C80:D80"/>
    <mergeCell ref="B81:D81"/>
    <mergeCell ref="B83:N83"/>
    <mergeCell ref="B84:N84"/>
    <mergeCell ref="C85:D85"/>
    <mergeCell ref="C86:D86"/>
    <mergeCell ref="C87:D87"/>
    <mergeCell ref="C88:D88"/>
    <mergeCell ref="C89:D89"/>
    <mergeCell ref="C90:D90"/>
    <mergeCell ref="C91:D91"/>
    <mergeCell ref="B92:D92"/>
    <mergeCell ref="B94:N94"/>
    <mergeCell ref="C95:D95"/>
    <mergeCell ref="C96:D96"/>
    <mergeCell ref="B97:E97"/>
    <mergeCell ref="B99:N99"/>
    <mergeCell ref="C100:D100"/>
    <mergeCell ref="C101:D101"/>
    <mergeCell ref="C102:D102"/>
    <mergeCell ref="B103:D103"/>
    <mergeCell ref="B105:N105"/>
    <mergeCell ref="C106:D106"/>
    <mergeCell ref="C107:D107"/>
    <mergeCell ref="C108:D108"/>
    <mergeCell ref="C109:D109"/>
    <mergeCell ref="C110:D110"/>
    <mergeCell ref="C111:E111"/>
    <mergeCell ref="B113:N113"/>
    <mergeCell ref="C114:D114"/>
    <mergeCell ref="C115:D115"/>
    <mergeCell ref="D127:E127"/>
    <mergeCell ref="C116:D116"/>
    <mergeCell ref="C117:D117"/>
    <mergeCell ref="C118:D118"/>
    <mergeCell ref="C119:D119"/>
    <mergeCell ref="C120:D120"/>
    <mergeCell ref="C121:E121"/>
    <mergeCell ref="D128:E128"/>
    <mergeCell ref="B122:F122"/>
    <mergeCell ref="D129:E129"/>
    <mergeCell ref="C130:E130"/>
    <mergeCell ref="D131:E131"/>
    <mergeCell ref="C132:E132"/>
    <mergeCell ref="B123:N123"/>
    <mergeCell ref="C124:E124"/>
    <mergeCell ref="D125:E125"/>
    <mergeCell ref="D126:E126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55" fitToHeight="0" orientation="portrait" r:id="rId1"/>
  <rowBreaks count="1" manualBreakCount="1">
    <brk id="71" min="1" max="9" man="1"/>
  </rowBreaks>
  <colBreaks count="1" manualBreakCount="1">
    <brk id="2" min="1" max="130" man="1"/>
  </colBreak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B2C2E4-8154-4757-B80E-522A3E4EEBE3}">
  <sheetPr>
    <pageSetUpPr fitToPage="1"/>
  </sheetPr>
  <dimension ref="A1:T232"/>
  <sheetViews>
    <sheetView view="pageBreakPreview" topLeftCell="E101" zoomScaleNormal="100" zoomScaleSheetLayoutView="100" workbookViewId="0">
      <selection activeCell="N125" sqref="N125:N132"/>
    </sheetView>
  </sheetViews>
  <sheetFormatPr defaultRowHeight="12.75" x14ac:dyDescent="0.2"/>
  <cols>
    <col min="1" max="1" width="2.42578125" style="68" customWidth="1"/>
    <col min="2" max="2" width="5.42578125" style="68" customWidth="1"/>
    <col min="3" max="3" width="10.140625" style="68" customWidth="1"/>
    <col min="4" max="4" width="40.42578125" style="68" customWidth="1"/>
    <col min="5" max="5" width="9.7109375" style="68" customWidth="1"/>
    <col min="6" max="6" width="16.140625" style="68" customWidth="1"/>
    <col min="7" max="7" width="9.7109375" style="68" customWidth="1"/>
    <col min="8" max="8" width="16.140625" style="68" customWidth="1"/>
    <col min="9" max="9" width="9.7109375" style="68" customWidth="1"/>
    <col min="10" max="10" width="16.140625" style="68" customWidth="1"/>
    <col min="11" max="11" width="9.7109375" style="68" customWidth="1"/>
    <col min="12" max="12" width="16.140625" style="68" customWidth="1"/>
    <col min="13" max="13" width="9.7109375" style="68" customWidth="1"/>
    <col min="14" max="14" width="16.140625" style="68" customWidth="1"/>
    <col min="15" max="15" width="12.140625" style="68" bestFit="1" customWidth="1"/>
    <col min="16" max="16" width="9.7109375" style="68" customWidth="1"/>
    <col min="17" max="17" width="16.140625" style="68" customWidth="1"/>
    <col min="18" max="16384" width="9.140625" style="68"/>
  </cols>
  <sheetData>
    <row r="1" spans="1:20" ht="13.5" thickBot="1" x14ac:dyDescent="0.25">
      <c r="A1" s="42"/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</row>
    <row r="2" spans="1:20" ht="15" x14ac:dyDescent="0.25">
      <c r="A2" s="42"/>
      <c r="B2" s="363" t="s">
        <v>17</v>
      </c>
      <c r="C2" s="364"/>
      <c r="D2" s="364"/>
      <c r="E2" s="364"/>
      <c r="F2" s="364"/>
      <c r="G2" s="364"/>
      <c r="H2" s="364"/>
      <c r="I2" s="364"/>
      <c r="J2" s="364"/>
      <c r="K2" s="364"/>
      <c r="L2" s="364"/>
      <c r="M2" s="364"/>
      <c r="N2" s="365"/>
      <c r="O2" s="42"/>
      <c r="P2" s="42"/>
      <c r="Q2" s="42"/>
      <c r="R2" s="42"/>
      <c r="S2" s="42"/>
      <c r="T2" s="42"/>
    </row>
    <row r="3" spans="1:20" ht="15" customHeight="1" x14ac:dyDescent="0.25">
      <c r="A3" s="42"/>
      <c r="B3" s="366" t="s">
        <v>70</v>
      </c>
      <c r="C3" s="367"/>
      <c r="D3" s="367"/>
      <c r="E3" s="367"/>
      <c r="F3" s="367"/>
      <c r="G3" s="367"/>
      <c r="H3" s="367"/>
      <c r="I3" s="367"/>
      <c r="J3" s="367"/>
      <c r="K3" s="367"/>
      <c r="L3" s="367"/>
      <c r="M3" s="367"/>
      <c r="N3" s="368"/>
      <c r="O3" s="42"/>
      <c r="P3" s="42"/>
      <c r="Q3" s="42"/>
      <c r="R3" s="42"/>
      <c r="S3" s="42"/>
      <c r="T3" s="42"/>
    </row>
    <row r="4" spans="1:20" ht="15" customHeight="1" x14ac:dyDescent="0.25">
      <c r="A4" s="42"/>
      <c r="B4" s="366" t="s">
        <v>19</v>
      </c>
      <c r="C4" s="367"/>
      <c r="D4" s="367"/>
      <c r="E4" s="367"/>
      <c r="F4" s="367"/>
      <c r="G4" s="367"/>
      <c r="H4" s="367"/>
      <c r="I4" s="367"/>
      <c r="J4" s="367"/>
      <c r="K4" s="367"/>
      <c r="L4" s="367"/>
      <c r="M4" s="367"/>
      <c r="N4" s="368"/>
      <c r="O4" s="42"/>
      <c r="P4" s="42"/>
      <c r="Q4" s="42"/>
      <c r="R4" s="42"/>
      <c r="S4" s="42"/>
      <c r="T4" s="42"/>
    </row>
    <row r="5" spans="1:20" ht="15.75" thickBot="1" x14ac:dyDescent="0.3">
      <c r="A5" s="42"/>
      <c r="B5" s="366" t="s">
        <v>126</v>
      </c>
      <c r="C5" s="367"/>
      <c r="D5" s="367"/>
      <c r="E5" s="367"/>
      <c r="F5" s="367"/>
      <c r="G5" s="367"/>
      <c r="H5" s="367"/>
      <c r="I5" s="367"/>
      <c r="J5" s="367"/>
      <c r="K5" s="367"/>
      <c r="L5" s="367"/>
      <c r="M5" s="367"/>
      <c r="N5" s="368"/>
      <c r="O5" s="42"/>
      <c r="P5" s="42"/>
      <c r="Q5" s="42"/>
      <c r="R5" s="42"/>
      <c r="S5" s="42"/>
      <c r="T5" s="42"/>
    </row>
    <row r="6" spans="1:20" ht="15.75" thickBot="1" x14ac:dyDescent="0.3">
      <c r="A6" s="42"/>
      <c r="B6" s="369" t="s">
        <v>32</v>
      </c>
      <c r="C6" s="370"/>
      <c r="D6" s="370"/>
      <c r="E6" s="370"/>
      <c r="F6" s="370"/>
      <c r="G6" s="370"/>
      <c r="H6" s="370"/>
      <c r="I6" s="370"/>
      <c r="J6" s="370"/>
      <c r="K6" s="370"/>
      <c r="L6" s="370"/>
      <c r="M6" s="370"/>
      <c r="N6" s="371"/>
      <c r="O6" s="42"/>
      <c r="P6" s="42"/>
      <c r="Q6" s="42"/>
      <c r="R6" s="42"/>
      <c r="S6" s="42"/>
      <c r="T6" s="42"/>
    </row>
    <row r="7" spans="1:20" ht="15.75" thickBot="1" x14ac:dyDescent="0.3">
      <c r="A7" s="42"/>
      <c r="B7" s="41"/>
      <c r="C7" s="372" t="s">
        <v>20</v>
      </c>
      <c r="D7" s="373"/>
      <c r="E7" s="374"/>
      <c r="F7" s="375" t="s">
        <v>221</v>
      </c>
      <c r="G7" s="376"/>
      <c r="H7" s="376"/>
      <c r="I7" s="376"/>
      <c r="J7" s="376"/>
      <c r="K7" s="376"/>
      <c r="L7" s="376"/>
      <c r="M7" s="376"/>
      <c r="N7" s="377"/>
      <c r="O7" s="42"/>
      <c r="P7" s="42"/>
      <c r="Q7" s="42"/>
      <c r="R7" s="42"/>
      <c r="S7" s="42"/>
      <c r="T7" s="42"/>
    </row>
    <row r="8" spans="1:20" ht="15.75" thickBot="1" x14ac:dyDescent="0.3">
      <c r="A8" s="42"/>
      <c r="B8" s="69"/>
      <c r="C8" s="395" t="s">
        <v>72</v>
      </c>
      <c r="D8" s="396"/>
      <c r="E8" s="397"/>
      <c r="F8" s="398" t="s">
        <v>222</v>
      </c>
      <c r="G8" s="399"/>
      <c r="H8" s="399"/>
      <c r="I8" s="399"/>
      <c r="J8" s="399"/>
      <c r="K8" s="399"/>
      <c r="L8" s="399"/>
      <c r="M8" s="399"/>
      <c r="N8" s="400"/>
      <c r="O8" s="42"/>
      <c r="P8" s="42"/>
      <c r="Q8" s="42"/>
      <c r="R8" s="42"/>
      <c r="S8" s="42"/>
      <c r="T8" s="42"/>
    </row>
    <row r="9" spans="1:20" ht="15" thickBot="1" x14ac:dyDescent="0.25">
      <c r="A9" s="42"/>
      <c r="B9" s="42"/>
      <c r="C9" s="1"/>
      <c r="D9" s="42"/>
      <c r="E9" s="42"/>
      <c r="F9" s="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</row>
    <row r="10" spans="1:20" ht="15.75" thickBot="1" x14ac:dyDescent="0.3">
      <c r="A10" s="42"/>
      <c r="B10" s="363" t="s">
        <v>33</v>
      </c>
      <c r="C10" s="364"/>
      <c r="D10" s="364"/>
      <c r="E10" s="364"/>
      <c r="F10" s="364"/>
      <c r="G10" s="364"/>
      <c r="H10" s="364"/>
      <c r="I10" s="364"/>
      <c r="J10" s="364"/>
      <c r="K10" s="364"/>
      <c r="L10" s="364"/>
      <c r="M10" s="364"/>
      <c r="N10" s="365"/>
      <c r="O10" s="42"/>
      <c r="P10" s="42"/>
      <c r="Q10" s="42"/>
      <c r="R10" s="42"/>
      <c r="S10" s="42"/>
      <c r="T10" s="42"/>
    </row>
    <row r="11" spans="1:20" x14ac:dyDescent="0.2">
      <c r="A11" s="42"/>
      <c r="B11" s="70" t="s">
        <v>1</v>
      </c>
      <c r="C11" s="401" t="s">
        <v>21</v>
      </c>
      <c r="D11" s="402"/>
      <c r="E11" s="402"/>
      <c r="F11" s="403">
        <v>43969</v>
      </c>
      <c r="G11" s="404"/>
      <c r="H11" s="404"/>
      <c r="I11" s="404"/>
      <c r="J11" s="404"/>
      <c r="K11" s="404"/>
      <c r="L11" s="404"/>
      <c r="M11" s="404"/>
      <c r="N11" s="405"/>
      <c r="O11" s="42"/>
      <c r="P11" s="42"/>
      <c r="Q11" s="42"/>
      <c r="R11" s="42"/>
      <c r="S11" s="42"/>
      <c r="T11" s="42"/>
    </row>
    <row r="12" spans="1:20" x14ac:dyDescent="0.2">
      <c r="A12" s="42"/>
      <c r="B12" s="197" t="s">
        <v>2</v>
      </c>
      <c r="C12" s="378" t="s">
        <v>241</v>
      </c>
      <c r="D12" s="379"/>
      <c r="E12" s="379"/>
      <c r="F12" s="380">
        <v>45450</v>
      </c>
      <c r="G12" s="407"/>
      <c r="H12" s="407"/>
      <c r="I12" s="407"/>
      <c r="J12" s="407"/>
      <c r="K12" s="407"/>
      <c r="L12" s="407"/>
      <c r="M12" s="407"/>
      <c r="N12" s="408"/>
      <c r="O12" s="42"/>
      <c r="P12" s="42"/>
      <c r="Q12" s="42"/>
      <c r="R12" s="42"/>
      <c r="S12" s="42"/>
      <c r="T12" s="42"/>
    </row>
    <row r="13" spans="1:20" x14ac:dyDescent="0.2">
      <c r="A13" s="42"/>
      <c r="B13" s="71" t="s">
        <v>4</v>
      </c>
      <c r="C13" s="378" t="s">
        <v>3</v>
      </c>
      <c r="D13" s="379"/>
      <c r="E13" s="379"/>
      <c r="F13" s="406" t="s">
        <v>75</v>
      </c>
      <c r="G13" s="407"/>
      <c r="H13" s="407"/>
      <c r="I13" s="407"/>
      <c r="J13" s="407"/>
      <c r="K13" s="407"/>
      <c r="L13" s="407"/>
      <c r="M13" s="407"/>
      <c r="N13" s="408"/>
      <c r="O13" s="42"/>
      <c r="P13" s="42"/>
      <c r="Q13" s="42"/>
      <c r="R13" s="42"/>
      <c r="S13" s="42"/>
      <c r="T13" s="42"/>
    </row>
    <row r="14" spans="1:20" x14ac:dyDescent="0.2">
      <c r="A14" s="42"/>
      <c r="B14" s="71" t="s">
        <v>5</v>
      </c>
      <c r="C14" s="378" t="s">
        <v>22</v>
      </c>
      <c r="D14" s="379"/>
      <c r="E14" s="379"/>
      <c r="F14" s="380" t="s">
        <v>294</v>
      </c>
      <c r="G14" s="381"/>
      <c r="H14" s="381"/>
      <c r="I14" s="381"/>
      <c r="J14" s="381"/>
      <c r="K14" s="381"/>
      <c r="L14" s="381"/>
      <c r="M14" s="381"/>
      <c r="N14" s="382"/>
      <c r="O14" s="42"/>
      <c r="P14" s="42"/>
      <c r="Q14" s="42"/>
      <c r="R14" s="42"/>
      <c r="S14" s="42"/>
      <c r="T14" s="42"/>
    </row>
    <row r="15" spans="1:20" ht="13.5" thickBot="1" x14ac:dyDescent="0.25">
      <c r="A15" s="42"/>
      <c r="B15" s="72" t="s">
        <v>6</v>
      </c>
      <c r="C15" s="383" t="s">
        <v>23</v>
      </c>
      <c r="D15" s="384"/>
      <c r="E15" s="384"/>
      <c r="F15" s="385">
        <v>12</v>
      </c>
      <c r="G15" s="386"/>
      <c r="H15" s="386"/>
      <c r="I15" s="386"/>
      <c r="J15" s="386"/>
      <c r="K15" s="386"/>
      <c r="L15" s="386"/>
      <c r="M15" s="386"/>
      <c r="N15" s="387"/>
      <c r="O15" s="42"/>
      <c r="P15" s="42"/>
      <c r="Q15" s="42"/>
      <c r="R15" s="42"/>
      <c r="S15" s="42"/>
      <c r="T15" s="42"/>
    </row>
    <row r="16" spans="1:20" x14ac:dyDescent="0.2">
      <c r="A16" s="42"/>
      <c r="B16" s="73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</row>
    <row r="17" spans="1:20" ht="15.75" thickBot="1" x14ac:dyDescent="0.3">
      <c r="A17" s="42"/>
      <c r="B17" s="367" t="s">
        <v>34</v>
      </c>
      <c r="C17" s="367"/>
      <c r="D17" s="367"/>
      <c r="E17" s="367"/>
      <c r="F17" s="367"/>
      <c r="G17" s="367"/>
      <c r="H17" s="367"/>
      <c r="I17" s="367"/>
      <c r="J17" s="367"/>
      <c r="K17" s="367"/>
      <c r="L17" s="367"/>
      <c r="M17" s="367"/>
      <c r="N17" s="367"/>
      <c r="O17" s="42"/>
      <c r="P17" s="42"/>
      <c r="Q17" s="42"/>
      <c r="R17" s="42"/>
      <c r="S17" s="42"/>
      <c r="T17" s="42"/>
    </row>
    <row r="18" spans="1:20" ht="13.5" thickBot="1" x14ac:dyDescent="0.25">
      <c r="A18" s="42"/>
      <c r="B18" s="388" t="s">
        <v>24</v>
      </c>
      <c r="C18" s="373"/>
      <c r="D18" s="15" t="s">
        <v>25</v>
      </c>
      <c r="E18" s="389" t="s">
        <v>26</v>
      </c>
      <c r="F18" s="390"/>
      <c r="G18" s="391"/>
      <c r="H18" s="392" t="s">
        <v>62</v>
      </c>
      <c r="I18" s="393"/>
      <c r="J18" s="393"/>
      <c r="K18" s="393"/>
      <c r="L18" s="393"/>
      <c r="M18" s="393"/>
      <c r="N18" s="394"/>
      <c r="O18" s="42"/>
      <c r="P18" s="42"/>
      <c r="Q18" s="42"/>
      <c r="R18" s="42"/>
      <c r="S18" s="42"/>
      <c r="T18" s="42"/>
    </row>
    <row r="19" spans="1:20" x14ac:dyDescent="0.2">
      <c r="A19" s="42"/>
      <c r="B19" s="422" t="s">
        <v>228</v>
      </c>
      <c r="C19" s="423"/>
      <c r="D19" s="140" t="s">
        <v>66</v>
      </c>
      <c r="E19" s="424">
        <v>1</v>
      </c>
      <c r="F19" s="424"/>
      <c r="G19" s="424"/>
      <c r="H19" s="425">
        <v>2</v>
      </c>
      <c r="I19" s="426"/>
      <c r="J19" s="426"/>
      <c r="K19" s="426"/>
      <c r="L19" s="426"/>
      <c r="M19" s="426"/>
      <c r="N19" s="427"/>
      <c r="O19" s="42"/>
      <c r="P19" s="42"/>
      <c r="Q19" s="42"/>
      <c r="R19" s="42"/>
      <c r="S19" s="42"/>
      <c r="T19" s="42"/>
    </row>
    <row r="20" spans="1:20" ht="13.5" thickBot="1" x14ac:dyDescent="0.25">
      <c r="A20" s="42"/>
      <c r="B20" s="383"/>
      <c r="C20" s="384"/>
      <c r="D20" s="384"/>
      <c r="E20" s="384"/>
      <c r="F20" s="384"/>
      <c r="G20" s="384"/>
      <c r="H20" s="384"/>
      <c r="I20" s="384"/>
      <c r="J20" s="384"/>
      <c r="K20" s="384"/>
      <c r="L20" s="384"/>
      <c r="M20" s="384"/>
      <c r="N20" s="451"/>
      <c r="O20" s="42"/>
      <c r="P20" s="42"/>
      <c r="Q20" s="42"/>
      <c r="R20" s="42"/>
      <c r="S20" s="42"/>
      <c r="T20" s="42"/>
    </row>
    <row r="21" spans="1:20" ht="12.75" customHeight="1" x14ac:dyDescent="0.2">
      <c r="A21" s="42"/>
      <c r="B21" s="431" t="s">
        <v>27</v>
      </c>
      <c r="C21" s="431"/>
      <c r="D21" s="431"/>
      <c r="E21" s="431"/>
      <c r="F21" s="431"/>
      <c r="G21" s="431"/>
      <c r="H21" s="431"/>
      <c r="I21" s="431"/>
      <c r="J21" s="431"/>
      <c r="K21" s="431"/>
      <c r="L21" s="431"/>
      <c r="M21" s="431"/>
      <c r="N21" s="431"/>
      <c r="O21" s="42"/>
      <c r="P21" s="42"/>
      <c r="Q21" s="42"/>
      <c r="R21" s="42"/>
      <c r="S21" s="42"/>
      <c r="T21" s="42"/>
    </row>
    <row r="22" spans="1:20" ht="13.5" customHeight="1" thickBot="1" x14ac:dyDescent="0.25">
      <c r="A22" s="42"/>
      <c r="B22" s="431"/>
      <c r="C22" s="431"/>
      <c r="D22" s="431"/>
      <c r="E22" s="431"/>
      <c r="F22" s="431"/>
      <c r="G22" s="431"/>
      <c r="H22" s="431"/>
      <c r="I22" s="431"/>
      <c r="J22" s="431"/>
      <c r="K22" s="431"/>
      <c r="L22" s="431"/>
      <c r="M22" s="431"/>
      <c r="N22" s="431"/>
      <c r="O22" s="42"/>
      <c r="P22" s="42"/>
      <c r="Q22" s="42"/>
      <c r="R22" s="42"/>
      <c r="S22" s="42"/>
      <c r="T22" s="42"/>
    </row>
    <row r="23" spans="1:20" x14ac:dyDescent="0.2">
      <c r="A23" s="42"/>
      <c r="B23" s="74">
        <v>1</v>
      </c>
      <c r="C23" s="432" t="s">
        <v>28</v>
      </c>
      <c r="D23" s="433"/>
      <c r="E23" s="434"/>
      <c r="F23" s="435" t="str">
        <f>B19</f>
        <v>Encarregado Noturno 12x36</v>
      </c>
      <c r="G23" s="436"/>
      <c r="H23" s="436"/>
      <c r="I23" s="436"/>
      <c r="J23" s="436"/>
      <c r="K23" s="436"/>
      <c r="L23" s="436"/>
      <c r="M23" s="436"/>
      <c r="N23" s="437"/>
      <c r="O23" s="42"/>
      <c r="P23" s="42"/>
      <c r="Q23" s="42"/>
      <c r="R23" s="42"/>
      <c r="S23" s="42"/>
      <c r="T23" s="42"/>
    </row>
    <row r="24" spans="1:20" x14ac:dyDescent="0.2">
      <c r="A24" s="42"/>
      <c r="B24" s="75">
        <v>2</v>
      </c>
      <c r="C24" s="409" t="s">
        <v>29</v>
      </c>
      <c r="D24" s="410"/>
      <c r="E24" s="411"/>
      <c r="F24" s="412">
        <v>3111.12</v>
      </c>
      <c r="G24" s="413"/>
      <c r="H24" s="413"/>
      <c r="I24" s="413"/>
      <c r="J24" s="413"/>
      <c r="K24" s="413"/>
      <c r="L24" s="413"/>
      <c r="M24" s="413"/>
      <c r="N24" s="414"/>
      <c r="O24" s="42"/>
      <c r="P24" s="42"/>
      <c r="Q24" s="42"/>
      <c r="R24" s="42"/>
      <c r="S24" s="42"/>
      <c r="T24" s="42"/>
    </row>
    <row r="25" spans="1:20" x14ac:dyDescent="0.2">
      <c r="A25" s="42"/>
      <c r="B25" s="75">
        <v>3</v>
      </c>
      <c r="C25" s="409" t="s">
        <v>30</v>
      </c>
      <c r="D25" s="410"/>
      <c r="E25" s="411"/>
      <c r="F25" s="409"/>
      <c r="G25" s="410"/>
      <c r="H25" s="410"/>
      <c r="I25" s="410"/>
      <c r="J25" s="410"/>
      <c r="K25" s="410"/>
      <c r="L25" s="410"/>
      <c r="M25" s="410"/>
      <c r="N25" s="415"/>
      <c r="O25" s="42"/>
      <c r="P25" s="42"/>
      <c r="Q25" s="42"/>
      <c r="R25" s="42"/>
      <c r="S25" s="42"/>
      <c r="T25" s="42"/>
    </row>
    <row r="26" spans="1:20" ht="13.5" thickBot="1" x14ac:dyDescent="0.25">
      <c r="A26" s="42"/>
      <c r="B26" s="76">
        <v>4</v>
      </c>
      <c r="C26" s="416" t="s">
        <v>9</v>
      </c>
      <c r="D26" s="417"/>
      <c r="E26" s="418"/>
      <c r="F26" s="419" t="s">
        <v>293</v>
      </c>
      <c r="G26" s="420"/>
      <c r="H26" s="420"/>
      <c r="I26" s="420"/>
      <c r="J26" s="420"/>
      <c r="K26" s="420"/>
      <c r="L26" s="420"/>
      <c r="M26" s="420"/>
      <c r="N26" s="421"/>
      <c r="O26" s="42"/>
      <c r="P26" s="42"/>
      <c r="Q26" s="42"/>
      <c r="R26" s="42"/>
      <c r="S26" s="42"/>
      <c r="T26" s="42"/>
    </row>
    <row r="27" spans="1:20" ht="13.5" thickBot="1" x14ac:dyDescent="0.25">
      <c r="A27" s="42"/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</row>
    <row r="28" spans="1:20" ht="15.75" thickBot="1" x14ac:dyDescent="0.3">
      <c r="A28" s="42"/>
      <c r="B28" s="369" t="s">
        <v>82</v>
      </c>
      <c r="C28" s="370"/>
      <c r="D28" s="370"/>
      <c r="E28" s="370"/>
      <c r="F28" s="370"/>
      <c r="G28" s="370"/>
      <c r="H28" s="370"/>
      <c r="I28" s="370"/>
      <c r="J28" s="370"/>
      <c r="K28" s="370"/>
      <c r="L28" s="370"/>
      <c r="M28" s="370"/>
      <c r="N28" s="371"/>
      <c r="O28" s="42"/>
      <c r="P28" s="42"/>
      <c r="Q28" s="42"/>
      <c r="R28" s="42"/>
      <c r="S28" s="42"/>
      <c r="T28" s="42"/>
    </row>
    <row r="29" spans="1:20" ht="28.5" customHeight="1" thickBot="1" x14ac:dyDescent="0.3">
      <c r="A29" s="42"/>
      <c r="B29" s="65">
        <v>1</v>
      </c>
      <c r="C29" s="441" t="s">
        <v>57</v>
      </c>
      <c r="D29" s="442"/>
      <c r="E29" s="86"/>
      <c r="F29" s="66" t="s">
        <v>245</v>
      </c>
      <c r="G29" s="86"/>
      <c r="H29" s="202" t="s">
        <v>243</v>
      </c>
      <c r="I29" s="86"/>
      <c r="J29" s="202" t="s">
        <v>242</v>
      </c>
      <c r="K29" s="86"/>
      <c r="L29" s="202" t="s">
        <v>270</v>
      </c>
      <c r="M29" s="86"/>
      <c r="N29" s="202" t="s">
        <v>292</v>
      </c>
      <c r="O29" s="42"/>
      <c r="P29" s="86"/>
      <c r="Q29" s="202" t="s">
        <v>271</v>
      </c>
      <c r="R29" s="42"/>
      <c r="S29" s="42"/>
      <c r="T29" s="42"/>
    </row>
    <row r="30" spans="1:20" x14ac:dyDescent="0.2">
      <c r="A30" s="42"/>
      <c r="B30" s="74" t="s">
        <v>1</v>
      </c>
      <c r="C30" s="443" t="s">
        <v>31</v>
      </c>
      <c r="D30" s="444"/>
      <c r="E30" s="77"/>
      <c r="F30" s="78">
        <v>2630.02</v>
      </c>
      <c r="G30" s="32"/>
      <c r="H30" s="33">
        <v>2708.92</v>
      </c>
      <c r="I30" s="32"/>
      <c r="J30" s="33">
        <v>2939.18</v>
      </c>
      <c r="K30" s="32"/>
      <c r="L30" s="33">
        <v>3111.12</v>
      </c>
      <c r="M30" s="32"/>
      <c r="N30" s="309">
        <v>3266.67</v>
      </c>
      <c r="O30" s="42"/>
      <c r="P30" s="32"/>
      <c r="Q30" s="33">
        <v>3111.12</v>
      </c>
      <c r="R30" s="42"/>
      <c r="S30" s="42"/>
      <c r="T30" s="42"/>
    </row>
    <row r="31" spans="1:20" x14ac:dyDescent="0.2">
      <c r="A31" s="42"/>
      <c r="B31" s="75" t="s">
        <v>2</v>
      </c>
      <c r="C31" s="409" t="s">
        <v>73</v>
      </c>
      <c r="D31" s="411"/>
      <c r="E31" s="51">
        <v>0.3</v>
      </c>
      <c r="F31" s="35">
        <f>F30*E31</f>
        <v>789.00599999999997</v>
      </c>
      <c r="G31" s="34">
        <v>0.3</v>
      </c>
      <c r="H31" s="35">
        <f>H30*G31</f>
        <v>812.67600000000004</v>
      </c>
      <c r="I31" s="36">
        <v>0.3</v>
      </c>
      <c r="J31" s="37">
        <f>J30*I31</f>
        <v>881.75399999999991</v>
      </c>
      <c r="K31" s="36">
        <v>0.3</v>
      </c>
      <c r="L31" s="37">
        <f>L30*K31</f>
        <v>933.3359999999999</v>
      </c>
      <c r="M31" s="36">
        <v>0.3</v>
      </c>
      <c r="N31" s="37">
        <f>N30*M31</f>
        <v>980.00099999999998</v>
      </c>
      <c r="O31" s="42"/>
      <c r="P31" s="36">
        <v>0.3</v>
      </c>
      <c r="Q31" s="37">
        <f>Q30*P31</f>
        <v>933.3359999999999</v>
      </c>
      <c r="R31" s="42"/>
      <c r="S31" s="42"/>
      <c r="T31" s="42"/>
    </row>
    <row r="32" spans="1:20" x14ac:dyDescent="0.2">
      <c r="A32" s="42"/>
      <c r="B32" s="75" t="s">
        <v>4</v>
      </c>
      <c r="C32" s="409" t="s">
        <v>74</v>
      </c>
      <c r="D32" s="411"/>
      <c r="E32" s="51"/>
      <c r="F32" s="35"/>
      <c r="G32" s="34"/>
      <c r="H32" s="35"/>
      <c r="I32" s="36"/>
      <c r="J32" s="38"/>
      <c r="K32" s="36"/>
      <c r="L32" s="38"/>
      <c r="M32" s="36"/>
      <c r="N32" s="38"/>
      <c r="O32" s="42"/>
      <c r="P32" s="36"/>
      <c r="Q32" s="38"/>
      <c r="R32" s="42"/>
      <c r="S32" s="42"/>
      <c r="T32" s="42"/>
    </row>
    <row r="33" spans="1:20" x14ac:dyDescent="0.2">
      <c r="A33" s="42"/>
      <c r="B33" s="75" t="s">
        <v>5</v>
      </c>
      <c r="C33" s="409" t="s">
        <v>10</v>
      </c>
      <c r="D33" s="411"/>
      <c r="E33" s="188">
        <v>0.2</v>
      </c>
      <c r="F33" s="35">
        <f>(F30+F31)/220*E33*7*15</f>
        <v>326.36157272727269</v>
      </c>
      <c r="G33" s="188">
        <v>0.2</v>
      </c>
      <c r="H33" s="35">
        <f>(H30+H31)/220*G33*7*15</f>
        <v>336.15234545454553</v>
      </c>
      <c r="I33" s="188">
        <v>0.2</v>
      </c>
      <c r="J33" s="37">
        <f>(J30+J31)/220*I33*7*15</f>
        <v>364.72551818181819</v>
      </c>
      <c r="K33" s="188">
        <v>0.2</v>
      </c>
      <c r="L33" s="37">
        <f>(L30+L31)/220*K33*7*15</f>
        <v>386.06170909090912</v>
      </c>
      <c r="M33" s="188">
        <v>0.2</v>
      </c>
      <c r="N33" s="37">
        <f>(N30+N31)/220*M33*7*15</f>
        <v>405.36405000000008</v>
      </c>
      <c r="O33" s="42"/>
      <c r="P33" s="188">
        <v>0.2</v>
      </c>
      <c r="Q33" s="37">
        <f>(Q30+Q31)/220*P33*7*15</f>
        <v>386.06170909090912</v>
      </c>
      <c r="R33" s="42"/>
      <c r="S33" s="42"/>
      <c r="T33" s="42"/>
    </row>
    <row r="34" spans="1:20" x14ac:dyDescent="0.2">
      <c r="A34" s="42"/>
      <c r="B34" s="75" t="s">
        <v>6</v>
      </c>
      <c r="C34" s="409" t="s">
        <v>80</v>
      </c>
      <c r="D34" s="411"/>
      <c r="E34" s="188">
        <v>0.2</v>
      </c>
      <c r="F34" s="35">
        <f>(F30+F31)/220*E33*1*15</f>
        <v>46.623081818181817</v>
      </c>
      <c r="G34" s="188">
        <v>0.2</v>
      </c>
      <c r="H34" s="35">
        <f>(H30+H31)/220*G33*1*15</f>
        <v>48.021763636363644</v>
      </c>
      <c r="I34" s="188">
        <v>0.2</v>
      </c>
      <c r="J34" s="37">
        <f>(J30+J31)/220*I33*1*15</f>
        <v>52.103645454545457</v>
      </c>
      <c r="K34" s="188">
        <v>0.2</v>
      </c>
      <c r="L34" s="37">
        <f>(L30+L31)/220*K33*1*15</f>
        <v>55.151672727272732</v>
      </c>
      <c r="M34" s="188">
        <v>0.2</v>
      </c>
      <c r="N34" s="37">
        <f>(N30+N31)/220*M33*1*15</f>
        <v>57.909150000000011</v>
      </c>
      <c r="O34" s="42"/>
      <c r="P34" s="188">
        <v>0.2</v>
      </c>
      <c r="Q34" s="37">
        <f>(Q30+Q31)/220*P33*1*15</f>
        <v>55.151672727272732</v>
      </c>
      <c r="R34" s="42"/>
      <c r="S34" s="42"/>
      <c r="T34" s="42"/>
    </row>
    <row r="35" spans="1:20" x14ac:dyDescent="0.2">
      <c r="A35" s="42"/>
      <c r="B35" s="75" t="s">
        <v>7</v>
      </c>
      <c r="C35" s="409" t="s">
        <v>81</v>
      </c>
      <c r="D35" s="411"/>
      <c r="E35" s="35"/>
      <c r="F35" s="35"/>
      <c r="G35" s="37"/>
      <c r="H35" s="37"/>
      <c r="I35" s="39"/>
      <c r="J35" s="38"/>
      <c r="K35" s="39"/>
      <c r="L35" s="38"/>
      <c r="M35" s="39"/>
      <c r="N35" s="38"/>
      <c r="O35" s="42"/>
      <c r="P35" s="39"/>
      <c r="Q35" s="38"/>
      <c r="R35" s="42"/>
      <c r="S35" s="42"/>
      <c r="T35" s="42"/>
    </row>
    <row r="36" spans="1:20" ht="13.5" thickBot="1" x14ac:dyDescent="0.25">
      <c r="A36" s="42"/>
      <c r="B36" s="76" t="s">
        <v>12</v>
      </c>
      <c r="C36" s="416" t="s">
        <v>11</v>
      </c>
      <c r="D36" s="418"/>
      <c r="E36" s="40"/>
      <c r="F36" s="40"/>
      <c r="G36" s="40"/>
      <c r="H36" s="40"/>
      <c r="I36" s="40"/>
      <c r="J36" s="45"/>
      <c r="K36" s="40"/>
      <c r="L36" s="45"/>
      <c r="M36" s="40"/>
      <c r="N36" s="45"/>
      <c r="O36" s="42"/>
      <c r="P36" s="40"/>
      <c r="Q36" s="45"/>
      <c r="R36" s="42"/>
      <c r="S36" s="42"/>
      <c r="T36" s="42"/>
    </row>
    <row r="37" spans="1:20" ht="15.75" thickBot="1" x14ac:dyDescent="0.3">
      <c r="A37" s="42"/>
      <c r="B37" s="41"/>
      <c r="C37" s="438" t="s">
        <v>40</v>
      </c>
      <c r="D37" s="439"/>
      <c r="E37" s="440"/>
      <c r="F37" s="13">
        <f>ROUND(SUM(F30:F36),2)</f>
        <v>3792.01</v>
      </c>
      <c r="G37" s="41"/>
      <c r="H37" s="13">
        <f>ROUND(SUM(H30:H36),2)</f>
        <v>3905.77</v>
      </c>
      <c r="I37" s="41"/>
      <c r="J37" s="5">
        <f>ROUND(SUM(J30:J36),2)</f>
        <v>4237.76</v>
      </c>
      <c r="K37" s="41"/>
      <c r="L37" s="5">
        <f>ROUND(SUM(L30:L36),2)</f>
        <v>4485.67</v>
      </c>
      <c r="M37" s="41"/>
      <c r="N37" s="5">
        <f>ROUND(SUM(N30:N36),2)</f>
        <v>4709.9399999999996</v>
      </c>
      <c r="O37" s="42"/>
      <c r="P37" s="41"/>
      <c r="Q37" s="5">
        <f>ROUND(SUM(Q30:Q36),2)</f>
        <v>4485.67</v>
      </c>
      <c r="R37" s="42"/>
      <c r="S37" s="42"/>
      <c r="T37" s="42"/>
    </row>
    <row r="38" spans="1:20" ht="13.5" thickBot="1" x14ac:dyDescent="0.25">
      <c r="A38" s="42"/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</row>
    <row r="39" spans="1:20" ht="15.75" thickBot="1" x14ac:dyDescent="0.3">
      <c r="A39" s="42"/>
      <c r="B39" s="369" t="s">
        <v>83</v>
      </c>
      <c r="C39" s="370"/>
      <c r="D39" s="370"/>
      <c r="E39" s="370"/>
      <c r="F39" s="370"/>
      <c r="G39" s="370"/>
      <c r="H39" s="370"/>
      <c r="I39" s="370"/>
      <c r="J39" s="370"/>
      <c r="K39" s="370"/>
      <c r="L39" s="370"/>
      <c r="M39" s="370"/>
      <c r="N39" s="371"/>
      <c r="O39" s="42"/>
      <c r="P39" s="42"/>
      <c r="Q39" s="42"/>
      <c r="R39" s="42"/>
      <c r="S39" s="42"/>
      <c r="T39" s="42"/>
    </row>
    <row r="40" spans="1:20" ht="15.75" thickBot="1" x14ac:dyDescent="0.3">
      <c r="A40" s="42"/>
      <c r="B40" s="369" t="s">
        <v>85</v>
      </c>
      <c r="C40" s="370"/>
      <c r="D40" s="370"/>
      <c r="E40" s="370"/>
      <c r="F40" s="370"/>
      <c r="G40" s="370"/>
      <c r="H40" s="370"/>
      <c r="I40" s="370"/>
      <c r="J40" s="370"/>
      <c r="K40" s="370"/>
      <c r="L40" s="370"/>
      <c r="M40" s="370"/>
      <c r="N40" s="371"/>
      <c r="O40" s="42"/>
      <c r="P40" s="42"/>
      <c r="Q40" s="42"/>
      <c r="R40" s="42"/>
      <c r="S40" s="42"/>
      <c r="T40" s="42"/>
    </row>
    <row r="41" spans="1:20" ht="15.75" thickBot="1" x14ac:dyDescent="0.3">
      <c r="A41" s="42"/>
      <c r="B41" s="94" t="s">
        <v>84</v>
      </c>
      <c r="C41" s="441" t="s">
        <v>86</v>
      </c>
      <c r="D41" s="442"/>
      <c r="E41" s="447"/>
      <c r="F41" s="66" t="s">
        <v>77</v>
      </c>
      <c r="G41" s="86"/>
      <c r="H41" s="66" t="s">
        <v>78</v>
      </c>
      <c r="I41" s="86"/>
      <c r="J41" s="66" t="s">
        <v>79</v>
      </c>
      <c r="K41" s="86"/>
      <c r="L41" s="66" t="s">
        <v>79</v>
      </c>
      <c r="M41" s="86"/>
      <c r="N41" s="66" t="s">
        <v>79</v>
      </c>
      <c r="O41" s="42"/>
      <c r="P41" s="86"/>
      <c r="Q41" s="66" t="s">
        <v>79</v>
      </c>
      <c r="R41" s="42"/>
      <c r="S41" s="42"/>
      <c r="T41" s="42"/>
    </row>
    <row r="42" spans="1:20" x14ac:dyDescent="0.2">
      <c r="A42" s="42"/>
      <c r="B42" s="70" t="s">
        <v>1</v>
      </c>
      <c r="C42" s="432" t="s">
        <v>87</v>
      </c>
      <c r="D42" s="445"/>
      <c r="E42" s="88">
        <f>ROUND(1/12,4)</f>
        <v>8.3299999999999999E-2</v>
      </c>
      <c r="F42" s="43">
        <f>E42*F37</f>
        <v>315.87443300000001</v>
      </c>
      <c r="G42" s="88">
        <f>ROUND(1/12,4)</f>
        <v>8.3299999999999999E-2</v>
      </c>
      <c r="H42" s="43">
        <f>G42*H37</f>
        <v>325.350641</v>
      </c>
      <c r="I42" s="88">
        <f>ROUND(1/12,4)</f>
        <v>8.3299999999999999E-2</v>
      </c>
      <c r="J42" s="44">
        <f>I42*J37</f>
        <v>353.00540799999999</v>
      </c>
      <c r="K42" s="88">
        <f>ROUND(1/12,4)</f>
        <v>8.3299999999999999E-2</v>
      </c>
      <c r="L42" s="44">
        <f>K42*L37</f>
        <v>373.65631100000002</v>
      </c>
      <c r="M42" s="88">
        <f>ROUND(1/12,4)</f>
        <v>8.3299999999999999E-2</v>
      </c>
      <c r="N42" s="44">
        <f>M42*N37</f>
        <v>392.33800199999996</v>
      </c>
      <c r="O42" s="42"/>
      <c r="P42" s="88">
        <v>0</v>
      </c>
      <c r="Q42" s="44">
        <f>P42*Q37</f>
        <v>0</v>
      </c>
      <c r="R42" s="42"/>
      <c r="S42" s="42"/>
      <c r="T42" s="42"/>
    </row>
    <row r="43" spans="1:20" ht="13.5" thickBot="1" x14ac:dyDescent="0.25">
      <c r="A43" s="42"/>
      <c r="B43" s="71" t="s">
        <v>2</v>
      </c>
      <c r="C43" s="409" t="s">
        <v>88</v>
      </c>
      <c r="D43" s="415"/>
      <c r="E43" s="89">
        <f>ROUND(1/11+1/11*1/3,3)</f>
        <v>0.121</v>
      </c>
      <c r="F43" s="35">
        <f>E43*F37</f>
        <v>458.83321000000001</v>
      </c>
      <c r="G43" s="89">
        <f>ROUND(1/11+1/11*1/3,3)</f>
        <v>0.121</v>
      </c>
      <c r="H43" s="35">
        <f>G43*H37</f>
        <v>472.59816999999998</v>
      </c>
      <c r="I43" s="89">
        <f>ROUND(1/11+1/11*1/3,3)</f>
        <v>0.121</v>
      </c>
      <c r="J43" s="35">
        <f>I43*J37</f>
        <v>512.76895999999999</v>
      </c>
      <c r="K43" s="89">
        <f>ROUND(1/11+1/11*1/3,3)</f>
        <v>0.121</v>
      </c>
      <c r="L43" s="35">
        <f>K43*L37</f>
        <v>542.76607000000001</v>
      </c>
      <c r="M43" s="89">
        <f>ROUND(1/11+1/11*1/3,3)</f>
        <v>0.121</v>
      </c>
      <c r="N43" s="35">
        <f>M43*N37</f>
        <v>569.90273999999988</v>
      </c>
      <c r="O43" s="42"/>
      <c r="P43" s="89">
        <v>0</v>
      </c>
      <c r="Q43" s="35">
        <f>P43*Q37</f>
        <v>0</v>
      </c>
      <c r="R43" s="42"/>
      <c r="S43" s="42"/>
      <c r="T43" s="42"/>
    </row>
    <row r="44" spans="1:20" ht="13.5" customHeight="1" thickBot="1" x14ac:dyDescent="0.25">
      <c r="A44" s="42"/>
      <c r="B44" s="448" t="s">
        <v>16</v>
      </c>
      <c r="C44" s="449"/>
      <c r="D44" s="450"/>
      <c r="E44" s="90">
        <f>E42+E43</f>
        <v>0.20429999999999998</v>
      </c>
      <c r="F44" s="11">
        <f>SUM(F42:F43)</f>
        <v>774.70764299999996</v>
      </c>
      <c r="G44" s="90">
        <f>G42+G43</f>
        <v>0.20429999999999998</v>
      </c>
      <c r="H44" s="11">
        <f>SUM(H42:H43)</f>
        <v>797.94881099999998</v>
      </c>
      <c r="I44" s="90">
        <f>I42+I43</f>
        <v>0.20429999999999998</v>
      </c>
      <c r="J44" s="11">
        <f>SUM(J42:J43)</f>
        <v>865.77436799999998</v>
      </c>
      <c r="K44" s="90">
        <f>K42+K43</f>
        <v>0.20429999999999998</v>
      </c>
      <c r="L44" s="11">
        <f>SUM(L42:L43)</f>
        <v>916.42238100000009</v>
      </c>
      <c r="M44" s="90">
        <f>M42+M43</f>
        <v>0.20429999999999998</v>
      </c>
      <c r="N44" s="11">
        <f>SUM(N42:N43)</f>
        <v>962.24074199999984</v>
      </c>
      <c r="O44" s="42"/>
      <c r="P44" s="90">
        <f>P42+P43</f>
        <v>0</v>
      </c>
      <c r="Q44" s="11">
        <f>SUM(Q42:Q43)</f>
        <v>0</v>
      </c>
      <c r="R44" s="42"/>
      <c r="S44" s="42"/>
      <c r="T44" s="42"/>
    </row>
    <row r="45" spans="1:20" ht="13.5" thickBot="1" x14ac:dyDescent="0.25">
      <c r="A45" s="42"/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</row>
    <row r="46" spans="1:20" ht="15.75" thickBot="1" x14ac:dyDescent="0.3">
      <c r="A46" s="42"/>
      <c r="B46" s="369" t="s">
        <v>89</v>
      </c>
      <c r="C46" s="370"/>
      <c r="D46" s="370"/>
      <c r="E46" s="370"/>
      <c r="F46" s="370"/>
      <c r="G46" s="370"/>
      <c r="H46" s="370"/>
      <c r="I46" s="370"/>
      <c r="J46" s="370"/>
      <c r="K46" s="370"/>
      <c r="L46" s="370"/>
      <c r="M46" s="370"/>
      <c r="N46" s="371"/>
      <c r="O46" s="42"/>
      <c r="P46" s="42"/>
      <c r="Q46" s="42"/>
      <c r="R46" s="42"/>
      <c r="S46" s="42"/>
      <c r="T46" s="42"/>
    </row>
    <row r="47" spans="1:20" ht="15.75" thickBot="1" x14ac:dyDescent="0.3">
      <c r="A47" s="42"/>
      <c r="B47" s="65" t="s">
        <v>90</v>
      </c>
      <c r="C47" s="369" t="s">
        <v>91</v>
      </c>
      <c r="D47" s="371"/>
      <c r="E47" s="7"/>
      <c r="F47" s="66" t="s">
        <v>77</v>
      </c>
      <c r="G47" s="86"/>
      <c r="H47" s="66" t="s">
        <v>78</v>
      </c>
      <c r="I47" s="86"/>
      <c r="J47" s="66" t="s">
        <v>79</v>
      </c>
      <c r="K47" s="86"/>
      <c r="L47" s="66" t="s">
        <v>79</v>
      </c>
      <c r="M47" s="86"/>
      <c r="N47" s="66" t="s">
        <v>79</v>
      </c>
      <c r="O47" s="42"/>
      <c r="P47" s="86"/>
      <c r="Q47" s="66" t="s">
        <v>79</v>
      </c>
      <c r="R47" s="42"/>
      <c r="S47" s="42"/>
      <c r="T47" s="42"/>
    </row>
    <row r="48" spans="1:20" x14ac:dyDescent="0.2">
      <c r="A48" s="42"/>
      <c r="B48" s="70" t="s">
        <v>1</v>
      </c>
      <c r="C48" s="432" t="s">
        <v>41</v>
      </c>
      <c r="D48" s="445"/>
      <c r="E48" s="49">
        <v>0.2</v>
      </c>
      <c r="F48" s="61">
        <f>E48*($F$37+$F$44)</f>
        <v>913.34352860000001</v>
      </c>
      <c r="G48" s="49">
        <v>0.2</v>
      </c>
      <c r="H48" s="46">
        <f>G48*($H$37+$H$44)</f>
        <v>940.74376219999999</v>
      </c>
      <c r="I48" s="49">
        <v>0.2</v>
      </c>
      <c r="J48" s="46">
        <f>I48*(J37+J44)</f>
        <v>1020.7068736000001</v>
      </c>
      <c r="K48" s="49">
        <v>0.2</v>
      </c>
      <c r="L48" s="46">
        <f>K48*(L37+L44)</f>
        <v>1080.4184762000002</v>
      </c>
      <c r="M48" s="49">
        <v>0.2</v>
      </c>
      <c r="N48" s="46">
        <f>M48*(N37+N44)</f>
        <v>1134.4361483999999</v>
      </c>
      <c r="O48" s="42"/>
      <c r="P48" s="49">
        <v>0.2</v>
      </c>
      <c r="Q48" s="46">
        <f>P48*(Q37+Q44)</f>
        <v>897.13400000000001</v>
      </c>
      <c r="R48" s="42"/>
      <c r="S48" s="42"/>
      <c r="T48" s="42"/>
    </row>
    <row r="49" spans="1:20" x14ac:dyDescent="0.2">
      <c r="A49" s="42"/>
      <c r="B49" s="71" t="s">
        <v>2</v>
      </c>
      <c r="C49" s="409" t="s">
        <v>92</v>
      </c>
      <c r="D49" s="415"/>
      <c r="E49" s="51">
        <v>2.5000000000000001E-2</v>
      </c>
      <c r="F49" s="54">
        <f t="shared" ref="F49:F55" si="0">E49*($F$37+$F$44)</f>
        <v>114.167941075</v>
      </c>
      <c r="G49" s="51">
        <v>2.5000000000000001E-2</v>
      </c>
      <c r="H49" s="55">
        <f t="shared" ref="H49:H55" si="1">G49*($H$37+$H$44)</f>
        <v>117.592970275</v>
      </c>
      <c r="I49" s="51">
        <v>2.5000000000000001E-2</v>
      </c>
      <c r="J49" s="59">
        <f>I49*(J37+J44)</f>
        <v>127.58835920000001</v>
      </c>
      <c r="K49" s="51">
        <v>2.5000000000000001E-2</v>
      </c>
      <c r="L49" s="59">
        <f>K49*(L37+L44)</f>
        <v>135.05230952500003</v>
      </c>
      <c r="M49" s="51">
        <v>2.5000000000000001E-2</v>
      </c>
      <c r="N49" s="59">
        <f>M49*(N37+N44)</f>
        <v>141.80451854999998</v>
      </c>
      <c r="O49" s="42"/>
      <c r="P49" s="51">
        <v>2.5000000000000001E-2</v>
      </c>
      <c r="Q49" s="59">
        <f>P49*(Q37+Q44)</f>
        <v>112.14175</v>
      </c>
      <c r="R49" s="42"/>
      <c r="S49" s="42"/>
      <c r="T49" s="42"/>
    </row>
    <row r="50" spans="1:20" x14ac:dyDescent="0.2">
      <c r="A50" s="42"/>
      <c r="B50" s="71" t="s">
        <v>4</v>
      </c>
      <c r="C50" s="409" t="s">
        <v>93</v>
      </c>
      <c r="D50" s="415"/>
      <c r="E50" s="51">
        <f>3%*0.5</f>
        <v>1.4999999999999999E-2</v>
      </c>
      <c r="F50" s="54">
        <f t="shared" si="0"/>
        <v>68.500764645000004</v>
      </c>
      <c r="G50" s="51">
        <f>3%*0.5</f>
        <v>1.4999999999999999E-2</v>
      </c>
      <c r="H50" s="81">
        <f t="shared" si="1"/>
        <v>70.555782164999997</v>
      </c>
      <c r="I50" s="51">
        <f>3%*0.5</f>
        <v>1.4999999999999999E-2</v>
      </c>
      <c r="J50" s="59">
        <f>I50*(J37+J44)</f>
        <v>76.553015520000002</v>
      </c>
      <c r="K50" s="51">
        <f>3%*0.5</f>
        <v>1.4999999999999999E-2</v>
      </c>
      <c r="L50" s="59">
        <f>K50*(L37+L44)</f>
        <v>81.031385714999999</v>
      </c>
      <c r="M50" s="51">
        <f>3%*0.5</f>
        <v>1.4999999999999999E-2</v>
      </c>
      <c r="N50" s="59">
        <f>M50*(N37+N44)</f>
        <v>85.082711129999993</v>
      </c>
      <c r="O50" s="42"/>
      <c r="P50" s="51">
        <f>3%*0.5</f>
        <v>1.4999999999999999E-2</v>
      </c>
      <c r="Q50" s="59">
        <f>P50*(Q37+Q44)</f>
        <v>67.285049999999998</v>
      </c>
      <c r="R50" s="42"/>
      <c r="S50" s="42"/>
      <c r="T50" s="42"/>
    </row>
    <row r="51" spans="1:20" x14ac:dyDescent="0.2">
      <c r="A51" s="42"/>
      <c r="B51" s="71" t="s">
        <v>5</v>
      </c>
      <c r="C51" s="409" t="s">
        <v>94</v>
      </c>
      <c r="D51" s="415"/>
      <c r="E51" s="51">
        <v>1.4999999999999999E-2</v>
      </c>
      <c r="F51" s="54">
        <f t="shared" si="0"/>
        <v>68.500764645000004</v>
      </c>
      <c r="G51" s="51">
        <v>1.4999999999999999E-2</v>
      </c>
      <c r="H51" s="52">
        <f t="shared" si="1"/>
        <v>70.555782164999997</v>
      </c>
      <c r="I51" s="51">
        <v>1.4999999999999999E-2</v>
      </c>
      <c r="J51" s="82">
        <f>I51*(J37+J44)</f>
        <v>76.553015520000002</v>
      </c>
      <c r="K51" s="51">
        <v>1.4999999999999999E-2</v>
      </c>
      <c r="L51" s="82">
        <f>K51*(L37+L44)</f>
        <v>81.031385714999999</v>
      </c>
      <c r="M51" s="51">
        <v>1.4999999999999999E-2</v>
      </c>
      <c r="N51" s="82">
        <f>M51*(N37+N44)</f>
        <v>85.082711129999993</v>
      </c>
      <c r="O51" s="42"/>
      <c r="P51" s="51">
        <v>1.4999999999999999E-2</v>
      </c>
      <c r="Q51" s="82">
        <f>P51*(Q37+Q44)</f>
        <v>67.285049999999998</v>
      </c>
      <c r="R51" s="42"/>
      <c r="S51" s="42"/>
      <c r="T51" s="42"/>
    </row>
    <row r="52" spans="1:20" x14ac:dyDescent="0.2">
      <c r="A52" s="42"/>
      <c r="B52" s="71" t="s">
        <v>6</v>
      </c>
      <c r="C52" s="409" t="s">
        <v>95</v>
      </c>
      <c r="D52" s="415"/>
      <c r="E52" s="51">
        <v>0.01</v>
      </c>
      <c r="F52" s="52">
        <f t="shared" si="0"/>
        <v>45.667176429999998</v>
      </c>
      <c r="G52" s="51">
        <v>0.01</v>
      </c>
      <c r="H52" s="55">
        <f t="shared" si="1"/>
        <v>47.037188109999995</v>
      </c>
      <c r="I52" s="51">
        <v>0.01</v>
      </c>
      <c r="J52" s="62">
        <f>I52*(J37+J44)</f>
        <v>51.035343680000004</v>
      </c>
      <c r="K52" s="51">
        <v>0.01</v>
      </c>
      <c r="L52" s="62">
        <f>K52*(L37+L44)</f>
        <v>54.020923810000006</v>
      </c>
      <c r="M52" s="51">
        <v>0.01</v>
      </c>
      <c r="N52" s="62">
        <f>M52*(N37+N44)</f>
        <v>56.721807419999998</v>
      </c>
      <c r="O52" s="42"/>
      <c r="P52" s="51">
        <v>0.01</v>
      </c>
      <c r="Q52" s="62">
        <f>P52*(Q37+Q44)</f>
        <v>44.856700000000004</v>
      </c>
      <c r="R52" s="42"/>
      <c r="S52" s="42"/>
      <c r="T52" s="42"/>
    </row>
    <row r="53" spans="1:20" x14ac:dyDescent="0.2">
      <c r="A53" s="42"/>
      <c r="B53" s="80" t="s">
        <v>7</v>
      </c>
      <c r="C53" s="378" t="s">
        <v>44</v>
      </c>
      <c r="D53" s="446"/>
      <c r="E53" s="53">
        <v>6.0000000000000001E-3</v>
      </c>
      <c r="F53" s="82">
        <f t="shared" si="0"/>
        <v>27.400305857999999</v>
      </c>
      <c r="G53" s="53">
        <v>6.0000000000000001E-3</v>
      </c>
      <c r="H53" s="81">
        <f t="shared" si="1"/>
        <v>28.222312865999999</v>
      </c>
      <c r="I53" s="53">
        <v>6.0000000000000001E-3</v>
      </c>
      <c r="J53" s="59">
        <f>I53*(J37+J44)</f>
        <v>30.621206208000004</v>
      </c>
      <c r="K53" s="53">
        <v>6.0000000000000001E-3</v>
      </c>
      <c r="L53" s="59">
        <f>K53*(L37+L44)</f>
        <v>32.412554286000002</v>
      </c>
      <c r="M53" s="53">
        <v>6.0000000000000001E-3</v>
      </c>
      <c r="N53" s="59">
        <f>M53*(N37+N44)</f>
        <v>34.033084451999997</v>
      </c>
      <c r="O53" s="42"/>
      <c r="P53" s="53">
        <v>6.0000000000000001E-3</v>
      </c>
      <c r="Q53" s="59">
        <f>P53*(Q37+Q44)</f>
        <v>26.914020000000001</v>
      </c>
      <c r="R53" s="42"/>
      <c r="S53" s="42"/>
      <c r="T53" s="42"/>
    </row>
    <row r="54" spans="1:20" x14ac:dyDescent="0.2">
      <c r="A54" s="42"/>
      <c r="B54" s="80" t="s">
        <v>8</v>
      </c>
      <c r="C54" s="378" t="s">
        <v>42</v>
      </c>
      <c r="D54" s="446"/>
      <c r="E54" s="53">
        <v>2E-3</v>
      </c>
      <c r="F54" s="52">
        <f t="shared" si="0"/>
        <v>9.1334352859999992</v>
      </c>
      <c r="G54" s="53">
        <v>2E-3</v>
      </c>
      <c r="H54" s="52">
        <f t="shared" si="1"/>
        <v>9.4074376219999998</v>
      </c>
      <c r="I54" s="53">
        <v>2E-3</v>
      </c>
      <c r="J54" s="59">
        <f>I54*(J37+J44)</f>
        <v>10.207068736000002</v>
      </c>
      <c r="K54" s="53">
        <v>2E-3</v>
      </c>
      <c r="L54" s="59">
        <f>K54*(L37+L44)</f>
        <v>10.804184762</v>
      </c>
      <c r="M54" s="53">
        <v>2E-3</v>
      </c>
      <c r="N54" s="59">
        <f>M54*(N37+N44)</f>
        <v>11.344361484</v>
      </c>
      <c r="O54" s="42"/>
      <c r="P54" s="53">
        <v>2E-3</v>
      </c>
      <c r="Q54" s="59">
        <f>P54*(Q37+Q44)</f>
        <v>8.9713399999999996</v>
      </c>
      <c r="R54" s="42"/>
      <c r="S54" s="42"/>
      <c r="T54" s="42"/>
    </row>
    <row r="55" spans="1:20" ht="13.5" thickBot="1" x14ac:dyDescent="0.25">
      <c r="A55" s="42"/>
      <c r="B55" s="80" t="s">
        <v>12</v>
      </c>
      <c r="C55" s="383" t="s">
        <v>43</v>
      </c>
      <c r="D55" s="451"/>
      <c r="E55" s="53">
        <v>0.08</v>
      </c>
      <c r="F55" s="59">
        <f t="shared" si="0"/>
        <v>365.33741143999998</v>
      </c>
      <c r="G55" s="53">
        <v>0.08</v>
      </c>
      <c r="H55" s="55">
        <f t="shared" si="1"/>
        <v>376.29750487999996</v>
      </c>
      <c r="I55" s="53">
        <v>0.08</v>
      </c>
      <c r="J55" s="59">
        <f>I55*(J37+J44)</f>
        <v>408.28274944000003</v>
      </c>
      <c r="K55" s="53">
        <v>0.08</v>
      </c>
      <c r="L55" s="59">
        <f>K55*(L37+L44)</f>
        <v>432.16739048000005</v>
      </c>
      <c r="M55" s="53">
        <v>0.08</v>
      </c>
      <c r="N55" s="59">
        <f>M55*(N37+N44)</f>
        <v>453.77445935999998</v>
      </c>
      <c r="O55" s="42"/>
      <c r="P55" s="53">
        <v>0.08</v>
      </c>
      <c r="Q55" s="59">
        <f>P55*(Q37+Q44)</f>
        <v>358.85360000000003</v>
      </c>
      <c r="R55" s="42"/>
      <c r="S55" s="42"/>
      <c r="T55" s="42"/>
    </row>
    <row r="56" spans="1:20" ht="13.5" customHeight="1" thickBot="1" x14ac:dyDescent="0.3">
      <c r="A56" s="42"/>
      <c r="B56" s="369" t="s">
        <v>16</v>
      </c>
      <c r="C56" s="370"/>
      <c r="D56" s="371"/>
      <c r="E56" s="90">
        <f t="shared" ref="E56:N56" si="2">SUM(E48:E55)</f>
        <v>0.35300000000000004</v>
      </c>
      <c r="F56" s="5">
        <f t="shared" si="2"/>
        <v>1612.0513279789998</v>
      </c>
      <c r="G56" s="90">
        <f t="shared" si="2"/>
        <v>0.35300000000000004</v>
      </c>
      <c r="H56" s="5">
        <f t="shared" si="2"/>
        <v>1660.4127402829999</v>
      </c>
      <c r="I56" s="90">
        <f>SUM(I48:I55)</f>
        <v>0.35300000000000004</v>
      </c>
      <c r="J56" s="5">
        <f>SUM(J48:J55)</f>
        <v>1801.5476319040004</v>
      </c>
      <c r="K56" s="90">
        <f t="shared" ref="K56:L56" si="3">SUM(K48:K55)</f>
        <v>0.35300000000000004</v>
      </c>
      <c r="L56" s="5">
        <f t="shared" si="3"/>
        <v>1906.9386104930002</v>
      </c>
      <c r="M56" s="90">
        <f t="shared" si="2"/>
        <v>0.35300000000000004</v>
      </c>
      <c r="N56" s="5">
        <f t="shared" si="2"/>
        <v>2002.2798019259999</v>
      </c>
      <c r="P56" s="90">
        <f>SUM(P48:P55)</f>
        <v>0.35300000000000004</v>
      </c>
      <c r="Q56" s="5">
        <f>SUM(Q48:Q55)</f>
        <v>1583.4415100000001</v>
      </c>
      <c r="R56" s="42"/>
      <c r="S56" s="42"/>
      <c r="T56" s="42"/>
    </row>
    <row r="57" spans="1:20" ht="13.5" thickBot="1" x14ac:dyDescent="0.25">
      <c r="A57" s="42"/>
      <c r="B57" s="42"/>
      <c r="C57" s="42"/>
      <c r="D57" s="42"/>
      <c r="E57" s="42"/>
      <c r="F57" s="83"/>
      <c r="G57" s="42"/>
      <c r="H57" s="79"/>
      <c r="I57" s="42"/>
      <c r="J57" s="42"/>
      <c r="K57" s="42"/>
      <c r="L57" s="42"/>
      <c r="M57" s="42"/>
      <c r="N57" s="42"/>
      <c r="P57" s="42"/>
      <c r="Q57" s="42"/>
      <c r="R57" s="42"/>
      <c r="S57" s="42"/>
      <c r="T57" s="42"/>
    </row>
    <row r="58" spans="1:20" ht="15.75" thickBot="1" x14ac:dyDescent="0.3">
      <c r="A58" s="42"/>
      <c r="B58" s="369" t="s">
        <v>96</v>
      </c>
      <c r="C58" s="370"/>
      <c r="D58" s="370"/>
      <c r="E58" s="370"/>
      <c r="F58" s="370"/>
      <c r="G58" s="370"/>
      <c r="H58" s="370"/>
      <c r="I58" s="370"/>
      <c r="J58" s="370"/>
      <c r="K58" s="370"/>
      <c r="L58" s="370"/>
      <c r="M58" s="370"/>
      <c r="N58" s="371"/>
      <c r="P58" s="42"/>
      <c r="Q58" s="42"/>
      <c r="R58" s="42"/>
      <c r="S58" s="42"/>
      <c r="T58" s="42"/>
    </row>
    <row r="59" spans="1:20" ht="15.75" thickBot="1" x14ac:dyDescent="0.3">
      <c r="A59" s="42"/>
      <c r="B59" s="65" t="s">
        <v>97</v>
      </c>
      <c r="C59" s="441" t="s">
        <v>58</v>
      </c>
      <c r="D59" s="447"/>
      <c r="E59" s="91"/>
      <c r="F59" s="66" t="s">
        <v>77</v>
      </c>
      <c r="G59" s="86"/>
      <c r="H59" s="66" t="s">
        <v>78</v>
      </c>
      <c r="I59" s="86"/>
      <c r="J59" s="66" t="s">
        <v>79</v>
      </c>
      <c r="K59" s="86"/>
      <c r="L59" s="66" t="s">
        <v>79</v>
      </c>
      <c r="M59" s="86"/>
      <c r="N59" s="66" t="s">
        <v>79</v>
      </c>
      <c r="P59" s="86"/>
      <c r="Q59" s="66" t="s">
        <v>79</v>
      </c>
      <c r="R59" s="42"/>
      <c r="S59" s="42"/>
      <c r="T59" s="42"/>
    </row>
    <row r="60" spans="1:20" x14ac:dyDescent="0.2">
      <c r="A60" s="42"/>
      <c r="B60" s="70" t="s">
        <v>1</v>
      </c>
      <c r="C60" s="432" t="s">
        <v>36</v>
      </c>
      <c r="D60" s="445"/>
      <c r="E60" s="92">
        <v>5.5</v>
      </c>
      <c r="F60" s="50">
        <f>E60*15*2-(6%*F30)</f>
        <v>7.1988000000000056</v>
      </c>
      <c r="G60" s="92">
        <v>5.5</v>
      </c>
      <c r="H60" s="50">
        <f>G60*15*2-(6%*H30)</f>
        <v>2.4647999999999968</v>
      </c>
      <c r="I60" s="92">
        <v>5.5</v>
      </c>
      <c r="J60" s="46">
        <f>I60*15*2-(6%*J30)</f>
        <v>-11.350799999999992</v>
      </c>
      <c r="K60" s="92">
        <v>5.5</v>
      </c>
      <c r="L60" s="46">
        <f>K60*15*2-(6%*L30)</f>
        <v>-21.66719999999998</v>
      </c>
      <c r="M60" s="92">
        <v>5.5</v>
      </c>
      <c r="N60" s="46">
        <f>(M60*15*2-(6%*N30))*0</f>
        <v>0</v>
      </c>
      <c r="P60" s="92">
        <v>5.5</v>
      </c>
      <c r="Q60" s="46">
        <f>P60*15*2-(6%*Q30)</f>
        <v>-21.66719999999998</v>
      </c>
      <c r="R60" s="42"/>
      <c r="S60" s="42"/>
      <c r="T60" s="42"/>
    </row>
    <row r="61" spans="1:20" x14ac:dyDescent="0.2">
      <c r="A61" s="42"/>
      <c r="B61" s="71" t="s">
        <v>2</v>
      </c>
      <c r="C61" s="409" t="s">
        <v>98</v>
      </c>
      <c r="D61" s="415"/>
      <c r="E61" s="93">
        <v>37.5</v>
      </c>
      <c r="F61" s="52">
        <f>E61*15</f>
        <v>562.5</v>
      </c>
      <c r="G61" s="93">
        <v>39.29</v>
      </c>
      <c r="H61" s="52">
        <f>G61*15</f>
        <v>589.35</v>
      </c>
      <c r="I61" s="93">
        <v>42.63</v>
      </c>
      <c r="J61" s="52">
        <f>I61*15</f>
        <v>639.45000000000005</v>
      </c>
      <c r="K61" s="93">
        <v>45.12</v>
      </c>
      <c r="L61" s="52">
        <f>K61*15</f>
        <v>676.8</v>
      </c>
      <c r="M61" s="310">
        <v>47.37</v>
      </c>
      <c r="N61" s="52">
        <f>M61*15</f>
        <v>710.55</v>
      </c>
      <c r="P61" s="93">
        <v>45.12</v>
      </c>
      <c r="Q61" s="52">
        <f>P61*15</f>
        <v>676.8</v>
      </c>
      <c r="R61" s="42"/>
      <c r="S61" s="42"/>
      <c r="T61" s="42"/>
    </row>
    <row r="62" spans="1:20" x14ac:dyDescent="0.2">
      <c r="A62" s="42"/>
      <c r="B62" s="71" t="s">
        <v>159</v>
      </c>
      <c r="C62" s="409" t="s">
        <v>160</v>
      </c>
      <c r="D62" s="415"/>
      <c r="E62" s="93">
        <f>E61*0.02</f>
        <v>0.75</v>
      </c>
      <c r="F62" s="52">
        <f>E62*-15</f>
        <v>-11.25</v>
      </c>
      <c r="G62" s="93">
        <f>G61*0.02</f>
        <v>0.78580000000000005</v>
      </c>
      <c r="H62" s="52">
        <f>G62*-15</f>
        <v>-11.787000000000001</v>
      </c>
      <c r="I62" s="93">
        <f>I61*0.02</f>
        <v>0.85260000000000002</v>
      </c>
      <c r="J62" s="52">
        <f>I62*-15</f>
        <v>-12.789</v>
      </c>
      <c r="K62" s="93">
        <f>K61*0.02</f>
        <v>0.90239999999999998</v>
      </c>
      <c r="L62" s="52">
        <f>K62*-15</f>
        <v>-13.536</v>
      </c>
      <c r="M62" s="312">
        <f>M61*0.02</f>
        <v>0.94740000000000002</v>
      </c>
      <c r="N62" s="52">
        <f>M62*-15</f>
        <v>-14.211</v>
      </c>
      <c r="P62" s="93">
        <f>P61*0.02</f>
        <v>0.90239999999999998</v>
      </c>
      <c r="Q62" s="52">
        <f>P62*-15</f>
        <v>-13.536</v>
      </c>
      <c r="R62" s="42"/>
      <c r="S62" s="42"/>
      <c r="T62" s="42"/>
    </row>
    <row r="63" spans="1:20" ht="13.5" thickBot="1" x14ac:dyDescent="0.25">
      <c r="A63" s="42"/>
      <c r="B63" s="71" t="s">
        <v>4</v>
      </c>
      <c r="C63" s="409" t="s">
        <v>161</v>
      </c>
      <c r="D63" s="415"/>
      <c r="E63" s="93"/>
      <c r="F63" s="52">
        <v>10.9</v>
      </c>
      <c r="G63" s="93"/>
      <c r="H63" s="52">
        <v>10.9</v>
      </c>
      <c r="I63" s="93"/>
      <c r="J63" s="52">
        <v>10.9</v>
      </c>
      <c r="K63" s="93"/>
      <c r="L63" s="52">
        <v>10.9</v>
      </c>
      <c r="M63" s="93"/>
      <c r="N63" s="52">
        <v>10.9</v>
      </c>
      <c r="P63" s="93"/>
      <c r="Q63" s="52">
        <v>10.9</v>
      </c>
      <c r="R63" s="42"/>
      <c r="S63" s="42"/>
      <c r="T63" s="42"/>
    </row>
    <row r="64" spans="1:20" ht="15.75" thickBot="1" x14ac:dyDescent="0.3">
      <c r="A64" s="42"/>
      <c r="B64" s="369" t="s">
        <v>16</v>
      </c>
      <c r="C64" s="370"/>
      <c r="D64" s="370"/>
      <c r="E64" s="371"/>
      <c r="F64" s="5">
        <f>SUM(F60:F63)</f>
        <v>569.34879999999998</v>
      </c>
      <c r="G64" s="8"/>
      <c r="H64" s="5">
        <f>SUM(H60:H63)</f>
        <v>590.92779999999993</v>
      </c>
      <c r="I64" s="8"/>
      <c r="J64" s="5">
        <f>SUM(J60:J63)</f>
        <v>626.2102000000001</v>
      </c>
      <c r="K64" s="8"/>
      <c r="L64" s="5">
        <f>SUM(L60:L63)</f>
        <v>652.49680000000001</v>
      </c>
      <c r="M64" s="8"/>
      <c r="N64" s="5">
        <f>SUM(N60:N63)</f>
        <v>707.23899999999992</v>
      </c>
      <c r="O64" s="42"/>
      <c r="P64" s="8"/>
      <c r="Q64" s="5">
        <f>SUM(Q60:Q63)</f>
        <v>652.49680000000001</v>
      </c>
      <c r="R64" s="42"/>
      <c r="S64" s="42"/>
      <c r="T64" s="42"/>
    </row>
    <row r="65" spans="1:20" ht="13.5" thickBot="1" x14ac:dyDescent="0.25">
      <c r="A65" s="42"/>
      <c r="B65" s="142"/>
      <c r="C65" s="9"/>
      <c r="D65" s="9"/>
      <c r="E65" s="9"/>
      <c r="F65" s="9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</row>
    <row r="66" spans="1:20" ht="15.75" thickBot="1" x14ac:dyDescent="0.3">
      <c r="A66" s="73"/>
      <c r="B66" s="369" t="s">
        <v>99</v>
      </c>
      <c r="C66" s="370"/>
      <c r="D66" s="370"/>
      <c r="E66" s="370"/>
      <c r="F66" s="370"/>
      <c r="G66" s="370"/>
      <c r="H66" s="370"/>
      <c r="I66" s="370"/>
      <c r="J66" s="370"/>
      <c r="K66" s="370"/>
      <c r="L66" s="370"/>
      <c r="M66" s="370"/>
      <c r="N66" s="371"/>
      <c r="O66" s="42"/>
      <c r="P66" s="42"/>
      <c r="Q66" s="42"/>
      <c r="R66" s="42"/>
      <c r="S66" s="42"/>
      <c r="T66" s="42"/>
    </row>
    <row r="67" spans="1:20" ht="15.75" thickBot="1" x14ac:dyDescent="0.3">
      <c r="A67" s="42"/>
      <c r="B67" s="65">
        <v>2</v>
      </c>
      <c r="C67" s="441" t="s">
        <v>100</v>
      </c>
      <c r="D67" s="447"/>
      <c r="E67" s="134" t="s">
        <v>13</v>
      </c>
      <c r="F67" s="4" t="s">
        <v>35</v>
      </c>
      <c r="G67" s="137" t="s">
        <v>13</v>
      </c>
      <c r="H67" s="4" t="s">
        <v>35</v>
      </c>
      <c r="I67" s="137" t="s">
        <v>13</v>
      </c>
      <c r="J67" s="4" t="s">
        <v>35</v>
      </c>
      <c r="K67" s="137" t="s">
        <v>13</v>
      </c>
      <c r="L67" s="4" t="s">
        <v>35</v>
      </c>
      <c r="M67" s="137" t="s">
        <v>13</v>
      </c>
      <c r="N67" s="4" t="s">
        <v>35</v>
      </c>
      <c r="O67" s="42"/>
      <c r="P67" s="137" t="s">
        <v>13</v>
      </c>
      <c r="Q67" s="4" t="s">
        <v>35</v>
      </c>
      <c r="R67" s="42"/>
      <c r="S67" s="42"/>
      <c r="T67" s="42"/>
    </row>
    <row r="68" spans="1:20" x14ac:dyDescent="0.2">
      <c r="A68" s="42"/>
      <c r="B68" s="70" t="s">
        <v>1</v>
      </c>
      <c r="C68" s="432" t="s">
        <v>86</v>
      </c>
      <c r="D68" s="445"/>
      <c r="E68" s="49">
        <f>E44</f>
        <v>0.20429999999999998</v>
      </c>
      <c r="F68" s="55">
        <f>F44</f>
        <v>774.70764299999996</v>
      </c>
      <c r="G68" s="49"/>
      <c r="H68" s="55">
        <f>H44</f>
        <v>797.94881099999998</v>
      </c>
      <c r="I68" s="49"/>
      <c r="J68" s="55">
        <f>J44</f>
        <v>865.77436799999998</v>
      </c>
      <c r="K68" s="49"/>
      <c r="L68" s="55">
        <f>L44</f>
        <v>916.42238100000009</v>
      </c>
      <c r="M68" s="49"/>
      <c r="N68" s="55">
        <f>N44</f>
        <v>962.24074199999984</v>
      </c>
      <c r="O68" s="42"/>
      <c r="P68" s="49"/>
      <c r="Q68" s="55">
        <f>Q44</f>
        <v>0</v>
      </c>
      <c r="R68" s="42"/>
      <c r="S68" s="42"/>
      <c r="T68" s="42"/>
    </row>
    <row r="69" spans="1:20" x14ac:dyDescent="0.2">
      <c r="A69" s="42"/>
      <c r="B69" s="71" t="s">
        <v>2</v>
      </c>
      <c r="C69" s="409" t="s">
        <v>91</v>
      </c>
      <c r="D69" s="415"/>
      <c r="E69" s="51">
        <f>E56</f>
        <v>0.35300000000000004</v>
      </c>
      <c r="F69" s="52">
        <f>F56</f>
        <v>1612.0513279789998</v>
      </c>
      <c r="G69" s="51"/>
      <c r="H69" s="52">
        <f>H56</f>
        <v>1660.4127402829999</v>
      </c>
      <c r="I69" s="51"/>
      <c r="J69" s="52">
        <f>J56</f>
        <v>1801.5476319040004</v>
      </c>
      <c r="K69" s="51"/>
      <c r="L69" s="52">
        <f>L56</f>
        <v>1906.9386104930002</v>
      </c>
      <c r="M69" s="51"/>
      <c r="N69" s="52">
        <f>N56</f>
        <v>2002.2798019259999</v>
      </c>
      <c r="O69" s="42"/>
      <c r="P69" s="51"/>
      <c r="Q69" s="52">
        <f>Q56</f>
        <v>1583.4415100000001</v>
      </c>
      <c r="R69" s="42"/>
      <c r="S69" s="42"/>
      <c r="T69" s="42"/>
    </row>
    <row r="70" spans="1:20" ht="13.5" thickBot="1" x14ac:dyDescent="0.25">
      <c r="A70" s="42"/>
      <c r="B70" s="71" t="s">
        <v>4</v>
      </c>
      <c r="C70" s="452" t="s">
        <v>58</v>
      </c>
      <c r="D70" s="453"/>
      <c r="E70" s="51"/>
      <c r="F70" s="52">
        <f>F64</f>
        <v>569.34879999999998</v>
      </c>
      <c r="G70" s="51"/>
      <c r="H70" s="52">
        <f>H64</f>
        <v>590.92779999999993</v>
      </c>
      <c r="I70" s="51"/>
      <c r="J70" s="52">
        <f>J64</f>
        <v>626.2102000000001</v>
      </c>
      <c r="K70" s="51"/>
      <c r="L70" s="52">
        <f>L64</f>
        <v>652.49680000000001</v>
      </c>
      <c r="M70" s="51"/>
      <c r="N70" s="52">
        <f>N64</f>
        <v>707.23899999999992</v>
      </c>
      <c r="O70" s="42"/>
      <c r="P70" s="51"/>
      <c r="Q70" s="52">
        <f>Q64</f>
        <v>652.49680000000001</v>
      </c>
      <c r="R70" s="42"/>
      <c r="S70" s="42"/>
      <c r="T70" s="42"/>
    </row>
    <row r="71" spans="1:20" ht="15.75" thickBot="1" x14ac:dyDescent="0.3">
      <c r="A71" s="42"/>
      <c r="B71" s="369" t="s">
        <v>16</v>
      </c>
      <c r="C71" s="370"/>
      <c r="D71" s="370"/>
      <c r="E71" s="146">
        <f>SUM(E68:E70)</f>
        <v>0.55730000000000002</v>
      </c>
      <c r="F71" s="5">
        <f>SUM(F68:F70)</f>
        <v>2956.1077709789997</v>
      </c>
      <c r="G71" s="56"/>
      <c r="H71" s="5">
        <f>SUM(H68:H70)</f>
        <v>3049.2893512830001</v>
      </c>
      <c r="I71" s="56"/>
      <c r="J71" s="5">
        <f>SUM(J68:J70)</f>
        <v>3293.5321999040002</v>
      </c>
      <c r="K71" s="56"/>
      <c r="L71" s="5">
        <f>SUM(L68:L70)</f>
        <v>3475.8577914930001</v>
      </c>
      <c r="M71" s="56"/>
      <c r="N71" s="5">
        <f>SUM(N68:N70)</f>
        <v>3671.7595439259999</v>
      </c>
      <c r="O71" s="42"/>
      <c r="P71" s="56"/>
      <c r="Q71" s="5">
        <f>SUM(Q68:Q70)</f>
        <v>2235.93831</v>
      </c>
      <c r="R71" s="42"/>
      <c r="S71" s="42"/>
      <c r="T71" s="42"/>
    </row>
    <row r="72" spans="1:20" ht="15.75" thickBot="1" x14ac:dyDescent="0.3">
      <c r="A72" s="42"/>
      <c r="B72" s="135"/>
      <c r="C72" s="135"/>
      <c r="D72" s="135"/>
      <c r="E72" s="87"/>
      <c r="F72" s="25"/>
      <c r="G72" s="42"/>
      <c r="H72" s="25"/>
      <c r="I72" s="42"/>
      <c r="J72" s="25"/>
      <c r="K72" s="42"/>
      <c r="L72" s="25"/>
      <c r="M72" s="42"/>
      <c r="N72" s="25"/>
      <c r="O72" s="42"/>
      <c r="P72" s="42"/>
      <c r="Q72" s="25"/>
      <c r="R72" s="42"/>
      <c r="S72" s="42"/>
      <c r="T72" s="42"/>
    </row>
    <row r="73" spans="1:20" ht="15.75" thickBot="1" x14ac:dyDescent="0.3">
      <c r="A73" s="42"/>
      <c r="B73" s="369" t="s">
        <v>101</v>
      </c>
      <c r="C73" s="370"/>
      <c r="D73" s="370"/>
      <c r="E73" s="370"/>
      <c r="F73" s="370"/>
      <c r="G73" s="370"/>
      <c r="H73" s="370"/>
      <c r="I73" s="370"/>
      <c r="J73" s="370"/>
      <c r="K73" s="370"/>
      <c r="L73" s="370"/>
      <c r="M73" s="370"/>
      <c r="N73" s="371"/>
      <c r="O73" s="42"/>
      <c r="P73" s="42"/>
      <c r="Q73" s="42"/>
      <c r="R73" s="42"/>
      <c r="S73" s="42"/>
      <c r="T73" s="42"/>
    </row>
    <row r="74" spans="1:20" ht="15.75" thickBot="1" x14ac:dyDescent="0.3">
      <c r="A74" s="42"/>
      <c r="B74" s="65">
        <v>3</v>
      </c>
      <c r="C74" s="441" t="s">
        <v>45</v>
      </c>
      <c r="D74" s="447"/>
      <c r="E74" s="134" t="s">
        <v>13</v>
      </c>
      <c r="F74" s="136" t="s">
        <v>35</v>
      </c>
      <c r="G74" s="4" t="s">
        <v>13</v>
      </c>
      <c r="H74" s="4" t="s">
        <v>35</v>
      </c>
      <c r="I74" s="4" t="s">
        <v>13</v>
      </c>
      <c r="J74" s="138" t="s">
        <v>35</v>
      </c>
      <c r="K74" s="4" t="s">
        <v>13</v>
      </c>
      <c r="L74" s="138" t="s">
        <v>35</v>
      </c>
      <c r="M74" s="4" t="s">
        <v>13</v>
      </c>
      <c r="N74" s="138" t="s">
        <v>35</v>
      </c>
      <c r="O74" s="42"/>
      <c r="P74" s="4" t="s">
        <v>13</v>
      </c>
      <c r="Q74" s="138" t="s">
        <v>35</v>
      </c>
      <c r="R74" s="42"/>
      <c r="S74" s="42"/>
      <c r="T74" s="42"/>
    </row>
    <row r="75" spans="1:20" x14ac:dyDescent="0.2">
      <c r="A75" s="42"/>
      <c r="B75" s="70" t="s">
        <v>1</v>
      </c>
      <c r="C75" s="432" t="s">
        <v>104</v>
      </c>
      <c r="D75" s="445"/>
      <c r="E75" s="132">
        <f>1/12*0.01</f>
        <v>8.3333333333333328E-4</v>
      </c>
      <c r="F75" s="59">
        <f t="shared" ref="F75:F80" si="4">$F$37*E75</f>
        <v>3.1600083333333333</v>
      </c>
      <c r="G75" s="132">
        <f>1/12*0.01*3/30</f>
        <v>8.3333333333333317E-5</v>
      </c>
      <c r="H75" s="59">
        <f t="shared" ref="H75:H80" si="5">$H$37*G75</f>
        <v>0.32548083333333327</v>
      </c>
      <c r="I75" s="132">
        <f>1/12*0.01*3/30</f>
        <v>8.3333333333333317E-5</v>
      </c>
      <c r="J75" s="55">
        <f>J37*I75</f>
        <v>0.35314666666666661</v>
      </c>
      <c r="K75" s="132">
        <f>1/12*0.01*3/30</f>
        <v>8.3333333333333317E-5</v>
      </c>
      <c r="L75" s="55">
        <f>L37*K75</f>
        <v>0.37380583333333328</v>
      </c>
      <c r="M75" s="132">
        <f>1/12*0.01*3/30</f>
        <v>8.3333333333333317E-5</v>
      </c>
      <c r="N75" s="55">
        <f>N37*M75</f>
        <v>0.39249499999999987</v>
      </c>
      <c r="O75" s="42"/>
      <c r="P75" s="132">
        <v>0</v>
      </c>
      <c r="Q75" s="55">
        <f>Q37*P75</f>
        <v>0</v>
      </c>
      <c r="R75" s="42"/>
      <c r="S75" s="42"/>
      <c r="T75" s="42"/>
    </row>
    <row r="76" spans="1:20" x14ac:dyDescent="0.2">
      <c r="A76" s="42"/>
      <c r="B76" s="71" t="s">
        <v>2</v>
      </c>
      <c r="C76" s="409" t="s">
        <v>67</v>
      </c>
      <c r="D76" s="415"/>
      <c r="E76" s="123">
        <f>E75*E55</f>
        <v>6.666666666666667E-5</v>
      </c>
      <c r="F76" s="59">
        <f t="shared" si="4"/>
        <v>0.25280066666666667</v>
      </c>
      <c r="G76" s="123">
        <f>G75*G55</f>
        <v>6.6666666666666658E-6</v>
      </c>
      <c r="H76" s="59">
        <f t="shared" si="5"/>
        <v>2.6038466666666663E-2</v>
      </c>
      <c r="I76" s="123">
        <f>I75*I55</f>
        <v>6.6666666666666658E-6</v>
      </c>
      <c r="J76" s="52">
        <f>J37*I76</f>
        <v>2.8251733333333331E-2</v>
      </c>
      <c r="K76" s="123">
        <f>K75*K55</f>
        <v>6.6666666666666658E-6</v>
      </c>
      <c r="L76" s="52">
        <f>L37*K76</f>
        <v>2.9904466666666664E-2</v>
      </c>
      <c r="M76" s="123">
        <f>M75*M55</f>
        <v>6.6666666666666658E-6</v>
      </c>
      <c r="N76" s="52">
        <f>N37*M76</f>
        <v>3.1399599999999993E-2</v>
      </c>
      <c r="O76" s="42"/>
      <c r="P76" s="123">
        <f>P75*P55</f>
        <v>0</v>
      </c>
      <c r="Q76" s="52">
        <f>Q37*P76</f>
        <v>0</v>
      </c>
      <c r="R76" s="42"/>
      <c r="S76" s="42"/>
      <c r="T76" s="42"/>
    </row>
    <row r="77" spans="1:20" x14ac:dyDescent="0.2">
      <c r="A77" s="42"/>
      <c r="B77" s="71" t="s">
        <v>4</v>
      </c>
      <c r="C77" s="409" t="s">
        <v>162</v>
      </c>
      <c r="D77" s="415"/>
      <c r="E77" s="51">
        <f>0.08*0.4*0.95</f>
        <v>3.04E-2</v>
      </c>
      <c r="F77" s="59">
        <f t="shared" si="4"/>
        <v>115.27710400000001</v>
      </c>
      <c r="G77" s="51">
        <f>0.08*0.4*0.95</f>
        <v>3.04E-2</v>
      </c>
      <c r="H77" s="59">
        <f t="shared" si="5"/>
        <v>118.73540799999999</v>
      </c>
      <c r="I77" s="51">
        <f>0.08*0.4*0.95</f>
        <v>3.04E-2</v>
      </c>
      <c r="J77" s="52">
        <f>J37*I77</f>
        <v>128.82790400000002</v>
      </c>
      <c r="K77" s="51">
        <f>0.08*0.4*0.95</f>
        <v>3.04E-2</v>
      </c>
      <c r="L77" s="52">
        <f>L37*K77</f>
        <v>136.36436800000001</v>
      </c>
      <c r="M77" s="51">
        <f>0.08*0.4*0.95</f>
        <v>3.04E-2</v>
      </c>
      <c r="N77" s="52">
        <f>N37*M77</f>
        <v>143.182176</v>
      </c>
      <c r="O77" s="42"/>
      <c r="P77" s="51">
        <v>0</v>
      </c>
      <c r="Q77" s="52">
        <f>Q37*P77</f>
        <v>0</v>
      </c>
      <c r="R77" s="42"/>
      <c r="S77" s="42"/>
      <c r="T77" s="42"/>
    </row>
    <row r="78" spans="1:20" x14ac:dyDescent="0.2">
      <c r="A78" s="42"/>
      <c r="B78" s="71" t="s">
        <v>5</v>
      </c>
      <c r="C78" s="409" t="s">
        <v>102</v>
      </c>
      <c r="D78" s="415"/>
      <c r="E78" s="102">
        <f>7/30/12*0.01</f>
        <v>1.9444444444444446E-4</v>
      </c>
      <c r="F78" s="59">
        <f t="shared" si="4"/>
        <v>0.73733527777777785</v>
      </c>
      <c r="G78" s="102">
        <f>7/30/12*0.01*3/30</f>
        <v>1.9444444444444445E-5</v>
      </c>
      <c r="H78" s="59">
        <f t="shared" si="5"/>
        <v>7.5945527777777785E-2</v>
      </c>
      <c r="I78" s="102">
        <f>7/30/12*0.01*3/30</f>
        <v>1.9444444444444445E-5</v>
      </c>
      <c r="J78" s="52">
        <f>J37*I78</f>
        <v>8.2400888888888899E-2</v>
      </c>
      <c r="K78" s="102">
        <f>7/30/12*0.01*3/30</f>
        <v>1.9444444444444445E-5</v>
      </c>
      <c r="L78" s="52">
        <f>L37*K78</f>
        <v>8.7221361111111118E-2</v>
      </c>
      <c r="M78" s="102">
        <f>7/30/12*0.01*3/30</f>
        <v>1.9444444444444445E-5</v>
      </c>
      <c r="N78" s="52">
        <f>N37*M78</f>
        <v>9.1582166666666659E-2</v>
      </c>
      <c r="O78" s="42"/>
      <c r="P78" s="102">
        <v>0</v>
      </c>
      <c r="Q78" s="52">
        <f>Q37*P78</f>
        <v>0</v>
      </c>
      <c r="R78" s="42"/>
      <c r="S78" s="42"/>
      <c r="T78" s="42"/>
    </row>
    <row r="79" spans="1:20" x14ac:dyDescent="0.2">
      <c r="A79" s="42"/>
      <c r="B79" s="71" t="s">
        <v>6</v>
      </c>
      <c r="C79" s="409" t="s">
        <v>103</v>
      </c>
      <c r="D79" s="415"/>
      <c r="E79" s="123">
        <f>E78*E56</f>
        <v>6.8638888888888902E-5</v>
      </c>
      <c r="F79" s="59">
        <f t="shared" si="4"/>
        <v>0.26027935305555561</v>
      </c>
      <c r="G79" s="123">
        <f>G78*G56</f>
        <v>6.8638888888888899E-6</v>
      </c>
      <c r="H79" s="59">
        <f t="shared" si="5"/>
        <v>2.6808771305555559E-2</v>
      </c>
      <c r="I79" s="123">
        <f>I78*I56</f>
        <v>6.8638888888888899E-6</v>
      </c>
      <c r="J79" s="52">
        <f>J37*I79</f>
        <v>2.9087513777777782E-2</v>
      </c>
      <c r="K79" s="123">
        <f>K78*K56</f>
        <v>6.8638888888888899E-6</v>
      </c>
      <c r="L79" s="52">
        <f>L37*K79</f>
        <v>3.0789140472222226E-2</v>
      </c>
      <c r="M79" s="123">
        <f>M78*M56</f>
        <v>6.8638888888888899E-6</v>
      </c>
      <c r="N79" s="52">
        <f>N37*M79</f>
        <v>3.2328504833333334E-2</v>
      </c>
      <c r="O79" s="42"/>
      <c r="P79" s="123">
        <f>P78*P56</f>
        <v>0</v>
      </c>
      <c r="Q79" s="52">
        <f>Q37*P79</f>
        <v>0</v>
      </c>
      <c r="R79" s="42"/>
      <c r="S79" s="42"/>
      <c r="T79" s="42"/>
    </row>
    <row r="80" spans="1:20" ht="13.5" thickBot="1" x14ac:dyDescent="0.25">
      <c r="A80" s="42"/>
      <c r="B80" s="80" t="s">
        <v>7</v>
      </c>
      <c r="C80" s="378" t="s">
        <v>163</v>
      </c>
      <c r="D80" s="446"/>
      <c r="E80" s="144">
        <f>E78*0.4</f>
        <v>7.7777777777777795E-5</v>
      </c>
      <c r="F80" s="82">
        <f t="shared" si="4"/>
        <v>0.29493411111111117</v>
      </c>
      <c r="G80" s="144">
        <f>G78*0.4</f>
        <v>7.7777777777777792E-6</v>
      </c>
      <c r="H80" s="59">
        <f t="shared" si="5"/>
        <v>3.0378211111111116E-2</v>
      </c>
      <c r="I80" s="144">
        <f>I78*0.4</f>
        <v>7.7777777777777792E-6</v>
      </c>
      <c r="J80" s="52">
        <f>J37*I80</f>
        <v>3.2960355555555564E-2</v>
      </c>
      <c r="K80" s="144">
        <f>K78*0.4</f>
        <v>7.7777777777777792E-6</v>
      </c>
      <c r="L80" s="52">
        <f>L37*K80</f>
        <v>3.4888544444444454E-2</v>
      </c>
      <c r="M80" s="144">
        <f>M78*0.4</f>
        <v>7.7777777777777792E-6</v>
      </c>
      <c r="N80" s="52">
        <f>N37*M80</f>
        <v>3.6632866666666673E-2</v>
      </c>
      <c r="O80" s="42"/>
      <c r="P80" s="144">
        <f>P78*0.4</f>
        <v>0</v>
      </c>
      <c r="Q80" s="52">
        <f>Q37*P80</f>
        <v>0</v>
      </c>
      <c r="R80" s="42"/>
      <c r="S80" s="42"/>
      <c r="T80" s="42"/>
    </row>
    <row r="81" spans="1:20" ht="15.75" thickBot="1" x14ac:dyDescent="0.3">
      <c r="A81" s="42"/>
      <c r="B81" s="369" t="s">
        <v>16</v>
      </c>
      <c r="C81" s="370"/>
      <c r="D81" s="370"/>
      <c r="E81" s="146">
        <f>SUM(E75:E80)</f>
        <v>3.1640861111111113E-2</v>
      </c>
      <c r="F81" s="5">
        <f>SUM(F75:F80)</f>
        <v>119.98246174194445</v>
      </c>
      <c r="G81" s="60"/>
      <c r="H81" s="13">
        <f>SUM(H75:H80)</f>
        <v>119.22005981019444</v>
      </c>
      <c r="I81" s="41"/>
      <c r="J81" s="5">
        <f>SUM(J75:J80)</f>
        <v>129.35375115822222</v>
      </c>
      <c r="K81" s="41"/>
      <c r="L81" s="5">
        <f>SUM(L75:L80)</f>
        <v>136.9209773460278</v>
      </c>
      <c r="M81" s="41"/>
      <c r="N81" s="5">
        <f>SUM(N75:N80)</f>
        <v>143.76661413816669</v>
      </c>
      <c r="O81" s="42"/>
      <c r="P81" s="41"/>
      <c r="Q81" s="5">
        <f>SUM(Q75:Q80)</f>
        <v>0</v>
      </c>
      <c r="R81" s="42"/>
      <c r="S81" s="42"/>
      <c r="T81" s="42"/>
    </row>
    <row r="82" spans="1:20" ht="15.75" thickBot="1" x14ac:dyDescent="0.3">
      <c r="A82" s="42"/>
      <c r="B82" s="135"/>
      <c r="C82" s="135"/>
      <c r="D82" s="135"/>
      <c r="E82" s="135"/>
      <c r="F82" s="25"/>
      <c r="G82" s="42"/>
      <c r="H82" s="25"/>
      <c r="I82" s="42"/>
      <c r="J82" s="25"/>
      <c r="K82" s="42"/>
      <c r="L82" s="25"/>
      <c r="M82" s="42"/>
      <c r="N82" s="25"/>
      <c r="O82" s="42"/>
      <c r="P82" s="42"/>
      <c r="Q82" s="25"/>
      <c r="R82" s="42"/>
      <c r="S82" s="42"/>
      <c r="T82" s="42"/>
    </row>
    <row r="83" spans="1:20" ht="15.75" thickBot="1" x14ac:dyDescent="0.3">
      <c r="A83" s="42"/>
      <c r="B83" s="369" t="s">
        <v>105</v>
      </c>
      <c r="C83" s="370"/>
      <c r="D83" s="370"/>
      <c r="E83" s="370"/>
      <c r="F83" s="370"/>
      <c r="G83" s="370"/>
      <c r="H83" s="370"/>
      <c r="I83" s="370"/>
      <c r="J83" s="370"/>
      <c r="K83" s="370"/>
      <c r="L83" s="370"/>
      <c r="M83" s="370"/>
      <c r="N83" s="371"/>
      <c r="O83" s="42"/>
      <c r="P83" s="42"/>
      <c r="Q83" s="42"/>
      <c r="R83" s="42"/>
      <c r="S83" s="42"/>
      <c r="T83" s="42"/>
    </row>
    <row r="84" spans="1:20" ht="15.75" thickBot="1" x14ac:dyDescent="0.3">
      <c r="A84" s="42"/>
      <c r="B84" s="369" t="s">
        <v>106</v>
      </c>
      <c r="C84" s="370"/>
      <c r="D84" s="370"/>
      <c r="E84" s="370"/>
      <c r="F84" s="370"/>
      <c r="G84" s="370"/>
      <c r="H84" s="370"/>
      <c r="I84" s="370"/>
      <c r="J84" s="370"/>
      <c r="K84" s="370"/>
      <c r="L84" s="370"/>
      <c r="M84" s="370"/>
      <c r="N84" s="371"/>
      <c r="O84" s="42"/>
      <c r="P84" s="42"/>
      <c r="Q84" s="42"/>
      <c r="R84" s="42"/>
      <c r="S84" s="42"/>
      <c r="T84" s="42"/>
    </row>
    <row r="85" spans="1:20" ht="15.75" thickBot="1" x14ac:dyDescent="0.25">
      <c r="A85" s="42"/>
      <c r="B85" s="139" t="s">
        <v>48</v>
      </c>
      <c r="C85" s="441" t="s">
        <v>46</v>
      </c>
      <c r="D85" s="447"/>
      <c r="E85" s="28" t="s">
        <v>13</v>
      </c>
      <c r="F85" s="30" t="s">
        <v>35</v>
      </c>
      <c r="G85" s="95" t="s">
        <v>13</v>
      </c>
      <c r="H85" s="95" t="s">
        <v>35</v>
      </c>
      <c r="I85" s="95" t="s">
        <v>13</v>
      </c>
      <c r="J85" s="31" t="s">
        <v>35</v>
      </c>
      <c r="K85" s="95" t="s">
        <v>13</v>
      </c>
      <c r="L85" s="31" t="s">
        <v>35</v>
      </c>
      <c r="M85" s="95" t="s">
        <v>13</v>
      </c>
      <c r="N85" s="31" t="s">
        <v>35</v>
      </c>
      <c r="O85" s="42"/>
      <c r="P85" s="95" t="s">
        <v>13</v>
      </c>
      <c r="Q85" s="31" t="s">
        <v>35</v>
      </c>
      <c r="R85" s="42"/>
      <c r="S85" s="42"/>
      <c r="T85" s="42"/>
    </row>
    <row r="86" spans="1:20" x14ac:dyDescent="0.2">
      <c r="A86" s="42"/>
      <c r="B86" s="70" t="s">
        <v>1</v>
      </c>
      <c r="C86" s="432" t="s">
        <v>164</v>
      </c>
      <c r="D86" s="445"/>
      <c r="E86" s="88">
        <f>ROUND((1/12+1/12*1/3)/12,4)</f>
        <v>9.2999999999999992E-3</v>
      </c>
      <c r="F86" s="46">
        <f>$F$37*E86</f>
        <v>35.265692999999999</v>
      </c>
      <c r="G86" s="88">
        <f>ROUND((1/12+1/12*1/3)/12,4)</f>
        <v>9.2999999999999992E-3</v>
      </c>
      <c r="H86" s="61">
        <f>$H$37*G86</f>
        <v>36.323660999999994</v>
      </c>
      <c r="I86" s="88">
        <f>ROUND((1/12+1/12*1/3)/12,4)</f>
        <v>9.2999999999999992E-3</v>
      </c>
      <c r="J86" s="46">
        <f>J37*I86</f>
        <v>39.411167999999996</v>
      </c>
      <c r="K86" s="88">
        <f>ROUND((1/12+1/12*1/3)/12,4)</f>
        <v>9.2999999999999992E-3</v>
      </c>
      <c r="L86" s="46">
        <f>L37*K86</f>
        <v>41.716730999999996</v>
      </c>
      <c r="M86" s="88">
        <f>ROUND((1/12+1/12*1/3)/12,4)</f>
        <v>9.2999999999999992E-3</v>
      </c>
      <c r="N86" s="46">
        <f>N37*M86</f>
        <v>43.802441999999992</v>
      </c>
      <c r="O86" s="96"/>
      <c r="P86" s="88">
        <v>0</v>
      </c>
      <c r="Q86" s="46">
        <f>Q37*P86</f>
        <v>0</v>
      </c>
      <c r="R86" s="42"/>
      <c r="S86" s="42"/>
      <c r="T86" s="42"/>
    </row>
    <row r="87" spans="1:20" x14ac:dyDescent="0.2">
      <c r="A87" s="42"/>
      <c r="B87" s="71" t="s">
        <v>2</v>
      </c>
      <c r="C87" s="409" t="s">
        <v>165</v>
      </c>
      <c r="D87" s="415"/>
      <c r="E87" s="123">
        <f>((2.96/30)/12)*3%</f>
        <v>2.4666666666666668E-4</v>
      </c>
      <c r="F87" s="82">
        <f>$F$37*E87</f>
        <v>0.93536246666666678</v>
      </c>
      <c r="G87" s="123">
        <f>((2.96/30)/12)*3%</f>
        <v>2.4666666666666668E-4</v>
      </c>
      <c r="H87" s="52">
        <f>$H$37*G87</f>
        <v>0.96342326666666667</v>
      </c>
      <c r="I87" s="123">
        <f>((2.96/30)/12)*3%</f>
        <v>2.4666666666666668E-4</v>
      </c>
      <c r="J87" s="52">
        <f>J37*I87</f>
        <v>1.0453141333333333</v>
      </c>
      <c r="K87" s="123">
        <f>((2.96/30)/12)*3%</f>
        <v>2.4666666666666668E-4</v>
      </c>
      <c r="L87" s="52">
        <f>L37*K87</f>
        <v>1.1064652666666668</v>
      </c>
      <c r="M87" s="123">
        <f>((2.96/30)/12)*3%</f>
        <v>2.4666666666666668E-4</v>
      </c>
      <c r="N87" s="52">
        <f>N37*M87</f>
        <v>1.1617852</v>
      </c>
      <c r="O87" s="97"/>
      <c r="P87" s="123">
        <v>0</v>
      </c>
      <c r="Q87" s="52">
        <f>Q37*P87</f>
        <v>0</v>
      </c>
      <c r="R87" s="42"/>
      <c r="S87" s="42"/>
      <c r="T87" s="42"/>
    </row>
    <row r="88" spans="1:20" x14ac:dyDescent="0.2">
      <c r="A88" s="42"/>
      <c r="B88" s="71" t="s">
        <v>4</v>
      </c>
      <c r="C88" s="409" t="s">
        <v>166</v>
      </c>
      <c r="D88" s="415"/>
      <c r="E88" s="51">
        <f>ROUND(5/30/12*1.5%,4)</f>
        <v>2.0000000000000001E-4</v>
      </c>
      <c r="F88" s="52">
        <f>$F$37*E88</f>
        <v>0.75840200000000013</v>
      </c>
      <c r="G88" s="51">
        <f>ROUND(5/30/12*1.5%,4)</f>
        <v>2.0000000000000001E-4</v>
      </c>
      <c r="H88" s="52">
        <f>$H$37*G88</f>
        <v>0.78115400000000002</v>
      </c>
      <c r="I88" s="51">
        <f>ROUND(5/30/12*1.5%,4)</f>
        <v>2.0000000000000001E-4</v>
      </c>
      <c r="J88" s="52">
        <f>J37*I88</f>
        <v>0.84755200000000008</v>
      </c>
      <c r="K88" s="51">
        <f>ROUND(5/30/12*1.5%,4)</f>
        <v>2.0000000000000001E-4</v>
      </c>
      <c r="L88" s="52">
        <f>L37*K88</f>
        <v>0.8971340000000001</v>
      </c>
      <c r="M88" s="51">
        <f>ROUND(5/30/12*1.5%,4)</f>
        <v>2.0000000000000001E-4</v>
      </c>
      <c r="N88" s="52">
        <f>N37*M88</f>
        <v>0.94198799999999994</v>
      </c>
      <c r="O88" s="97"/>
      <c r="P88" s="51">
        <v>0</v>
      </c>
      <c r="Q88" s="52">
        <f>Q37*P88</f>
        <v>0</v>
      </c>
      <c r="R88" s="42"/>
      <c r="S88" s="42"/>
      <c r="T88" s="42"/>
    </row>
    <row r="89" spans="1:20" x14ac:dyDescent="0.2">
      <c r="A89" s="42"/>
      <c r="B89" s="71" t="s">
        <v>5</v>
      </c>
      <c r="C89" s="454" t="s">
        <v>167</v>
      </c>
      <c r="D89" s="455"/>
      <c r="E89" s="34">
        <f>ROUND(15/30/12*0.01,4)</f>
        <v>4.0000000000000002E-4</v>
      </c>
      <c r="F89" s="84">
        <f>$F$37*E89</f>
        <v>1.5168040000000003</v>
      </c>
      <c r="G89" s="34">
        <f>ROUND(15/30/12*0.01,4)</f>
        <v>4.0000000000000002E-4</v>
      </c>
      <c r="H89" s="52">
        <f>$H$37*G89</f>
        <v>1.562308</v>
      </c>
      <c r="I89" s="34">
        <f>ROUND(15/30/12*0.01,4)</f>
        <v>4.0000000000000002E-4</v>
      </c>
      <c r="J89" s="52">
        <f>J37*I89</f>
        <v>1.6951040000000002</v>
      </c>
      <c r="K89" s="34">
        <f>ROUND(15/30/12*0.01,4)</f>
        <v>4.0000000000000002E-4</v>
      </c>
      <c r="L89" s="52">
        <f>L37*K89</f>
        <v>1.7942680000000002</v>
      </c>
      <c r="M89" s="34">
        <f>ROUND(15/30/12*0.01,4)</f>
        <v>4.0000000000000002E-4</v>
      </c>
      <c r="N89" s="52">
        <f>N37*M89</f>
        <v>1.8839759999999999</v>
      </c>
      <c r="O89" s="97"/>
      <c r="P89" s="34">
        <v>0</v>
      </c>
      <c r="Q89" s="52">
        <f>Q37*P89</f>
        <v>0</v>
      </c>
      <c r="R89" s="42"/>
      <c r="S89" s="42"/>
      <c r="T89" s="42"/>
    </row>
    <row r="90" spans="1:20" x14ac:dyDescent="0.2">
      <c r="A90" s="42"/>
      <c r="B90" s="71" t="s">
        <v>6</v>
      </c>
      <c r="C90" s="409" t="s">
        <v>168</v>
      </c>
      <c r="D90" s="415"/>
      <c r="E90" s="51">
        <f>ROUND(((1/12*4)+(1.33/12*4))/12*0.0025,4)</f>
        <v>2.0000000000000001E-4</v>
      </c>
      <c r="F90" s="52">
        <f>$F$37*E90</f>
        <v>0.75840200000000013</v>
      </c>
      <c r="G90" s="51">
        <f>ROUND(((1/12*4)+(1.33/12*4))/12*0.0025,4)</f>
        <v>2.0000000000000001E-4</v>
      </c>
      <c r="H90" s="52">
        <f>$H$37*G90</f>
        <v>0.78115400000000002</v>
      </c>
      <c r="I90" s="51">
        <f>ROUND(((1/12*4)+(1.33/12*4))/12*0.0025,4)</f>
        <v>2.0000000000000001E-4</v>
      </c>
      <c r="J90" s="52">
        <f>J37*I90</f>
        <v>0.84755200000000008</v>
      </c>
      <c r="K90" s="51">
        <f>ROUND(((1/12*4)+(1.33/12*4))/12*0.0025,4)</f>
        <v>2.0000000000000001E-4</v>
      </c>
      <c r="L90" s="52">
        <f>L37*K90</f>
        <v>0.8971340000000001</v>
      </c>
      <c r="M90" s="51">
        <f>ROUND(((1/12*4)+(1.33/12*4))/12*0.0025,4)</f>
        <v>2.0000000000000001E-4</v>
      </c>
      <c r="N90" s="52">
        <f>N37*M90</f>
        <v>0.94198799999999994</v>
      </c>
      <c r="O90" s="97"/>
      <c r="P90" s="51">
        <v>0</v>
      </c>
      <c r="Q90" s="52">
        <f>Q37*P90</f>
        <v>0</v>
      </c>
      <c r="R90" s="42"/>
      <c r="S90" s="42"/>
      <c r="T90" s="42"/>
    </row>
    <row r="91" spans="1:20" ht="13.5" thickBot="1" x14ac:dyDescent="0.25">
      <c r="A91" s="42"/>
      <c r="B91" s="80" t="s">
        <v>7</v>
      </c>
      <c r="C91" s="378" t="s">
        <v>169</v>
      </c>
      <c r="D91" s="446"/>
      <c r="E91" s="53"/>
      <c r="F91" s="54">
        <f>ROUND($F$37*E91,2)</f>
        <v>0</v>
      </c>
      <c r="G91" s="53"/>
      <c r="H91" s="81">
        <f>ROUND($H$37*G91,2)</f>
        <v>0</v>
      </c>
      <c r="I91" s="53"/>
      <c r="J91" s="52">
        <f>ROUND(J37*I91,2)</f>
        <v>0</v>
      </c>
      <c r="K91" s="53"/>
      <c r="L91" s="52">
        <f>ROUND(L37*K91,2)</f>
        <v>0</v>
      </c>
      <c r="M91" s="53"/>
      <c r="N91" s="52">
        <f>ROUND(N37*M91,2)</f>
        <v>0</v>
      </c>
      <c r="O91" s="42"/>
      <c r="P91" s="53"/>
      <c r="Q91" s="52">
        <f>ROUND(Q37*P91,2)</f>
        <v>0</v>
      </c>
      <c r="R91" s="42"/>
      <c r="S91" s="42"/>
      <c r="T91" s="42"/>
    </row>
    <row r="92" spans="1:20" ht="15.75" thickBot="1" x14ac:dyDescent="0.3">
      <c r="A92" s="42"/>
      <c r="B92" s="369" t="s">
        <v>16</v>
      </c>
      <c r="C92" s="370"/>
      <c r="D92" s="370"/>
      <c r="E92" s="146">
        <f>SUM(E86:E91)</f>
        <v>1.0346666666666665E-2</v>
      </c>
      <c r="F92" s="5">
        <f>SUM(F86:F91)</f>
        <v>39.23466346666666</v>
      </c>
      <c r="G92" s="41"/>
      <c r="H92" s="5">
        <f>SUM(H86:H91)</f>
        <v>40.411700266666664</v>
      </c>
      <c r="I92" s="41"/>
      <c r="J92" s="5">
        <f>SUM(J86:J91)</f>
        <v>43.846690133333333</v>
      </c>
      <c r="K92" s="41"/>
      <c r="L92" s="5">
        <f>SUM(L86:L91)</f>
        <v>46.411732266666668</v>
      </c>
      <c r="M92" s="41"/>
      <c r="N92" s="5">
        <f>SUM(N86:N91)</f>
        <v>48.73217919999999</v>
      </c>
      <c r="O92" s="42"/>
      <c r="P92" s="41"/>
      <c r="Q92" s="5">
        <f>SUM(Q86:Q91)</f>
        <v>0</v>
      </c>
      <c r="R92" s="42"/>
      <c r="S92" s="42"/>
      <c r="T92" s="42"/>
    </row>
    <row r="93" spans="1:20" ht="15.75" thickBot="1" x14ac:dyDescent="0.3">
      <c r="A93" s="42"/>
      <c r="B93" s="135"/>
      <c r="C93" s="135"/>
      <c r="D93" s="135"/>
      <c r="E93" s="87"/>
      <c r="F93" s="25"/>
      <c r="G93" s="42"/>
      <c r="H93" s="25"/>
      <c r="I93" s="42"/>
      <c r="J93" s="25"/>
      <c r="K93" s="42"/>
      <c r="L93" s="25"/>
      <c r="M93" s="42"/>
      <c r="N93" s="25"/>
      <c r="O93" s="42"/>
      <c r="P93" s="42"/>
      <c r="Q93" s="25"/>
      <c r="R93" s="42"/>
      <c r="S93" s="42"/>
      <c r="T93" s="42"/>
    </row>
    <row r="94" spans="1:20" ht="15.75" thickBot="1" x14ac:dyDescent="0.3">
      <c r="A94" s="42"/>
      <c r="B94" s="369" t="s">
        <v>107</v>
      </c>
      <c r="C94" s="370"/>
      <c r="D94" s="370"/>
      <c r="E94" s="370"/>
      <c r="F94" s="370"/>
      <c r="G94" s="370"/>
      <c r="H94" s="370"/>
      <c r="I94" s="370"/>
      <c r="J94" s="370"/>
      <c r="K94" s="370"/>
      <c r="L94" s="370"/>
      <c r="M94" s="370"/>
      <c r="N94" s="371"/>
      <c r="O94" s="42"/>
      <c r="P94" s="42"/>
      <c r="Q94" s="42"/>
      <c r="R94" s="42"/>
      <c r="S94" s="42"/>
      <c r="T94" s="42"/>
    </row>
    <row r="95" spans="1:20" ht="15.75" thickBot="1" x14ac:dyDescent="0.3">
      <c r="A95" s="42"/>
      <c r="B95" s="65" t="s">
        <v>49</v>
      </c>
      <c r="C95" s="369" t="s">
        <v>108</v>
      </c>
      <c r="D95" s="371"/>
      <c r="E95" s="134" t="s">
        <v>13</v>
      </c>
      <c r="F95" s="133" t="s">
        <v>35</v>
      </c>
      <c r="G95" s="4" t="s">
        <v>13</v>
      </c>
      <c r="H95" s="4" t="s">
        <v>35</v>
      </c>
      <c r="I95" s="4" t="s">
        <v>13</v>
      </c>
      <c r="J95" s="138" t="s">
        <v>35</v>
      </c>
      <c r="K95" s="4" t="s">
        <v>13</v>
      </c>
      <c r="L95" s="138" t="s">
        <v>35</v>
      </c>
      <c r="M95" s="4" t="s">
        <v>13</v>
      </c>
      <c r="N95" s="138" t="s">
        <v>35</v>
      </c>
      <c r="O95" s="42"/>
      <c r="P95" s="4" t="s">
        <v>13</v>
      </c>
      <c r="Q95" s="138" t="s">
        <v>35</v>
      </c>
      <c r="R95" s="42"/>
      <c r="S95" s="42"/>
      <c r="T95" s="42"/>
    </row>
    <row r="96" spans="1:20" ht="13.5" thickBot="1" x14ac:dyDescent="0.25">
      <c r="A96" s="42"/>
      <c r="B96" s="70" t="s">
        <v>1</v>
      </c>
      <c r="C96" s="432" t="s">
        <v>109</v>
      </c>
      <c r="D96" s="445"/>
      <c r="E96" s="49"/>
      <c r="F96" s="50">
        <f>ROUND($F$37*E96,2)</f>
        <v>0</v>
      </c>
      <c r="G96" s="49"/>
      <c r="H96" s="101">
        <f>ROUND($H$37*G96,2)</f>
        <v>0</v>
      </c>
      <c r="I96" s="57"/>
      <c r="J96" s="50">
        <f>ROUND(J37*I96,2)</f>
        <v>0</v>
      </c>
      <c r="K96" s="57"/>
      <c r="L96" s="50">
        <f>ROUND(L37*K96,2)</f>
        <v>0</v>
      </c>
      <c r="M96" s="57"/>
      <c r="N96" s="50">
        <f>ROUND(N37*M96,2)</f>
        <v>0</v>
      </c>
      <c r="O96" s="42"/>
      <c r="P96" s="57"/>
      <c r="Q96" s="50">
        <f>ROUND(Q37*P96,2)</f>
        <v>0</v>
      </c>
      <c r="R96" s="42"/>
      <c r="S96" s="42"/>
      <c r="T96" s="42"/>
    </row>
    <row r="97" spans="1:20" ht="13.5" customHeight="1" thickBot="1" x14ac:dyDescent="0.3">
      <c r="A97" s="42"/>
      <c r="B97" s="369" t="s">
        <v>16</v>
      </c>
      <c r="C97" s="370"/>
      <c r="D97" s="370"/>
      <c r="E97" s="371"/>
      <c r="F97" s="5">
        <f>F96</f>
        <v>0</v>
      </c>
      <c r="G97" s="41"/>
      <c r="H97" s="12">
        <f>H96</f>
        <v>0</v>
      </c>
      <c r="I97" s="41"/>
      <c r="J97" s="5">
        <f>J96</f>
        <v>0</v>
      </c>
      <c r="K97" s="41"/>
      <c r="L97" s="5">
        <f>L96</f>
        <v>0</v>
      </c>
      <c r="M97" s="41"/>
      <c r="N97" s="5">
        <f>N96</f>
        <v>0</v>
      </c>
      <c r="O97" s="42"/>
      <c r="P97" s="41"/>
      <c r="Q97" s="5">
        <f>Q96</f>
        <v>0</v>
      </c>
      <c r="R97" s="42"/>
      <c r="S97" s="42"/>
      <c r="T97" s="42"/>
    </row>
    <row r="98" spans="1:20" ht="13.5" customHeight="1" thickBot="1" x14ac:dyDescent="0.3">
      <c r="A98" s="42"/>
      <c r="B98" s="135"/>
      <c r="C98" s="135"/>
      <c r="D98" s="135"/>
      <c r="E98" s="135"/>
      <c r="F98" s="25"/>
      <c r="G98" s="42"/>
      <c r="H98" s="25"/>
      <c r="I98" s="42"/>
      <c r="J98" s="25"/>
      <c r="K98" s="42"/>
      <c r="L98" s="25"/>
      <c r="M98" s="42"/>
      <c r="N98" s="25"/>
      <c r="O98" s="42"/>
      <c r="P98" s="42"/>
      <c r="Q98" s="25"/>
      <c r="R98" s="42"/>
      <c r="S98" s="42"/>
      <c r="T98" s="42"/>
    </row>
    <row r="99" spans="1:20" ht="15.75" thickBot="1" x14ac:dyDescent="0.3">
      <c r="A99" s="42"/>
      <c r="B99" s="369" t="s">
        <v>110</v>
      </c>
      <c r="C99" s="370"/>
      <c r="D99" s="370"/>
      <c r="E99" s="370"/>
      <c r="F99" s="370"/>
      <c r="G99" s="370"/>
      <c r="H99" s="370"/>
      <c r="I99" s="370"/>
      <c r="J99" s="370"/>
      <c r="K99" s="370"/>
      <c r="L99" s="370"/>
      <c r="M99" s="370"/>
      <c r="N99" s="371"/>
      <c r="O99" s="42"/>
      <c r="P99" s="42"/>
      <c r="Q99" s="42"/>
      <c r="R99" s="42"/>
      <c r="S99" s="42"/>
      <c r="T99" s="42"/>
    </row>
    <row r="100" spans="1:20" ht="15.75" thickBot="1" x14ac:dyDescent="0.3">
      <c r="A100" s="42"/>
      <c r="B100" s="139">
        <v>4</v>
      </c>
      <c r="C100" s="370" t="s">
        <v>47</v>
      </c>
      <c r="D100" s="371"/>
      <c r="E100" s="134" t="s">
        <v>13</v>
      </c>
      <c r="F100" s="136" t="s">
        <v>35</v>
      </c>
      <c r="G100" s="4" t="s">
        <v>13</v>
      </c>
      <c r="H100" s="4" t="s">
        <v>35</v>
      </c>
      <c r="I100" s="4" t="s">
        <v>13</v>
      </c>
      <c r="J100" s="138" t="s">
        <v>35</v>
      </c>
      <c r="K100" s="4" t="s">
        <v>13</v>
      </c>
      <c r="L100" s="138" t="s">
        <v>35</v>
      </c>
      <c r="M100" s="4" t="s">
        <v>13</v>
      </c>
      <c r="N100" s="138" t="s">
        <v>35</v>
      </c>
      <c r="O100" s="42"/>
      <c r="P100" s="4" t="s">
        <v>13</v>
      </c>
      <c r="Q100" s="138" t="s">
        <v>35</v>
      </c>
      <c r="R100" s="42"/>
      <c r="S100" s="42"/>
      <c r="T100" s="42"/>
    </row>
    <row r="101" spans="1:20" x14ac:dyDescent="0.2">
      <c r="A101" s="42"/>
      <c r="B101" s="70" t="s">
        <v>48</v>
      </c>
      <c r="C101" s="432" t="s">
        <v>46</v>
      </c>
      <c r="D101" s="445"/>
      <c r="E101" s="145">
        <f>E92</f>
        <v>1.0346666666666665E-2</v>
      </c>
      <c r="F101" s="59">
        <f>F92</f>
        <v>39.23466346666666</v>
      </c>
      <c r="G101" s="49"/>
      <c r="H101" s="59">
        <f>H92</f>
        <v>40.411700266666664</v>
      </c>
      <c r="I101" s="49"/>
      <c r="J101" s="46">
        <f>J92</f>
        <v>43.846690133333333</v>
      </c>
      <c r="K101" s="49"/>
      <c r="L101" s="46">
        <f>L92</f>
        <v>46.411732266666668</v>
      </c>
      <c r="M101" s="49"/>
      <c r="N101" s="46">
        <f>N92</f>
        <v>48.73217919999999</v>
      </c>
      <c r="O101" s="42"/>
      <c r="P101" s="49"/>
      <c r="Q101" s="46">
        <f>Q92</f>
        <v>0</v>
      </c>
      <c r="R101" s="42"/>
      <c r="S101" s="42"/>
      <c r="T101" s="42"/>
    </row>
    <row r="102" spans="1:20" ht="13.5" thickBot="1" x14ac:dyDescent="0.25">
      <c r="A102" s="42"/>
      <c r="B102" s="71" t="s">
        <v>49</v>
      </c>
      <c r="C102" s="409" t="s">
        <v>108</v>
      </c>
      <c r="D102" s="415"/>
      <c r="E102" s="51"/>
      <c r="F102" s="59">
        <f>F97</f>
        <v>0</v>
      </c>
      <c r="G102" s="51"/>
      <c r="H102" s="59">
        <f>H97</f>
        <v>0</v>
      </c>
      <c r="I102" s="51"/>
      <c r="J102" s="58">
        <f>J97</f>
        <v>0</v>
      </c>
      <c r="K102" s="51"/>
      <c r="L102" s="58">
        <f>L97</f>
        <v>0</v>
      </c>
      <c r="M102" s="51"/>
      <c r="N102" s="58">
        <f>N97</f>
        <v>0</v>
      </c>
      <c r="O102" s="42"/>
      <c r="P102" s="51"/>
      <c r="Q102" s="58">
        <f>Q97</f>
        <v>0</v>
      </c>
      <c r="R102" s="42"/>
      <c r="S102" s="42"/>
      <c r="T102" s="42"/>
    </row>
    <row r="103" spans="1:20" ht="15.75" thickBot="1" x14ac:dyDescent="0.3">
      <c r="A103" s="42"/>
      <c r="B103" s="369" t="s">
        <v>16</v>
      </c>
      <c r="C103" s="370"/>
      <c r="D103" s="370"/>
      <c r="E103" s="100"/>
      <c r="F103" s="5">
        <f>SUM(F101:F102)</f>
        <v>39.23466346666666</v>
      </c>
      <c r="G103" s="60"/>
      <c r="H103" s="13">
        <f>SUM(H101:H102)</f>
        <v>40.411700266666664</v>
      </c>
      <c r="I103" s="41"/>
      <c r="J103" s="5">
        <f>SUM(J101:J102)</f>
        <v>43.846690133333333</v>
      </c>
      <c r="K103" s="41"/>
      <c r="L103" s="5">
        <f>SUM(L101:L102)</f>
        <v>46.411732266666668</v>
      </c>
      <c r="M103" s="41"/>
      <c r="N103" s="5">
        <f>SUM(N101:N102)</f>
        <v>48.73217919999999</v>
      </c>
      <c r="O103" s="42"/>
      <c r="P103" s="41"/>
      <c r="Q103" s="5">
        <f>SUM(Q101:Q102)</f>
        <v>0</v>
      </c>
      <c r="R103" s="42"/>
      <c r="S103" s="42"/>
      <c r="T103" s="42"/>
    </row>
    <row r="104" spans="1:20" ht="15.75" thickBot="1" x14ac:dyDescent="0.3">
      <c r="A104" s="42"/>
      <c r="B104" s="42"/>
      <c r="C104" s="87"/>
      <c r="D104" s="87"/>
      <c r="E104" s="87"/>
      <c r="F104" s="25"/>
      <c r="G104" s="42"/>
      <c r="H104" s="25"/>
      <c r="I104" s="42"/>
      <c r="J104" s="25"/>
      <c r="K104" s="42"/>
      <c r="L104" s="25"/>
      <c r="M104" s="42"/>
      <c r="N104" s="25"/>
      <c r="O104" s="42"/>
      <c r="P104" s="42"/>
      <c r="Q104" s="25"/>
      <c r="R104" s="42"/>
      <c r="S104" s="42"/>
      <c r="T104" s="42"/>
    </row>
    <row r="105" spans="1:20" ht="15.75" thickBot="1" x14ac:dyDescent="0.3">
      <c r="A105" s="42"/>
      <c r="B105" s="369" t="s">
        <v>111</v>
      </c>
      <c r="C105" s="370"/>
      <c r="D105" s="370"/>
      <c r="E105" s="370"/>
      <c r="F105" s="370"/>
      <c r="G105" s="370"/>
      <c r="H105" s="370"/>
      <c r="I105" s="370"/>
      <c r="J105" s="370"/>
      <c r="K105" s="370"/>
      <c r="L105" s="370"/>
      <c r="M105" s="370"/>
      <c r="N105" s="371"/>
      <c r="O105" s="42"/>
      <c r="P105" s="42"/>
      <c r="Q105" s="42"/>
      <c r="R105" s="42"/>
      <c r="S105" s="42"/>
      <c r="T105" s="42"/>
    </row>
    <row r="106" spans="1:20" ht="15.75" thickBot="1" x14ac:dyDescent="0.3">
      <c r="A106" s="42"/>
      <c r="B106" s="65">
        <v>5</v>
      </c>
      <c r="C106" s="456" t="s">
        <v>15</v>
      </c>
      <c r="D106" s="457"/>
      <c r="E106" s="28" t="s">
        <v>13</v>
      </c>
      <c r="F106" s="30" t="s">
        <v>35</v>
      </c>
      <c r="G106" s="95" t="s">
        <v>13</v>
      </c>
      <c r="H106" s="95" t="s">
        <v>35</v>
      </c>
      <c r="I106" s="95" t="s">
        <v>13</v>
      </c>
      <c r="J106" s="31" t="s">
        <v>35</v>
      </c>
      <c r="K106" s="95" t="s">
        <v>13</v>
      </c>
      <c r="L106" s="31" t="s">
        <v>35</v>
      </c>
      <c r="M106" s="95" t="s">
        <v>13</v>
      </c>
      <c r="N106" s="31" t="s">
        <v>35</v>
      </c>
      <c r="O106" s="42"/>
      <c r="P106" s="95" t="s">
        <v>13</v>
      </c>
      <c r="Q106" s="31" t="s">
        <v>35</v>
      </c>
      <c r="R106" s="42"/>
      <c r="S106" s="42"/>
      <c r="T106" s="42"/>
    </row>
    <row r="107" spans="1:20" x14ac:dyDescent="0.2">
      <c r="A107" s="42"/>
      <c r="B107" s="70" t="s">
        <v>1</v>
      </c>
      <c r="C107" s="432" t="s">
        <v>38</v>
      </c>
      <c r="D107" s="445"/>
      <c r="E107" s="49"/>
      <c r="F107" s="46">
        <f>Uniforme!$E$12</f>
        <v>48.333333333333336</v>
      </c>
      <c r="G107" s="49"/>
      <c r="H107" s="46">
        <f>Uniforme!$E$12</f>
        <v>48.333333333333336</v>
      </c>
      <c r="I107" s="49"/>
      <c r="J107" s="46">
        <f>Uniforme!$E$12</f>
        <v>48.333333333333336</v>
      </c>
      <c r="K107" s="49"/>
      <c r="L107" s="46">
        <f>Uniforme!$E$12</f>
        <v>48.333333333333336</v>
      </c>
      <c r="M107" s="49"/>
      <c r="N107" s="46">
        <f>Uniforme!$E$12</f>
        <v>48.333333333333336</v>
      </c>
      <c r="O107" s="42"/>
      <c r="P107" s="49"/>
      <c r="Q107" s="46">
        <f>Uniforme!$E$12</f>
        <v>48.333333333333336</v>
      </c>
      <c r="R107" s="42"/>
      <c r="S107" s="42"/>
      <c r="T107" s="42"/>
    </row>
    <row r="108" spans="1:20" x14ac:dyDescent="0.2">
      <c r="A108" s="42"/>
      <c r="B108" s="71" t="s">
        <v>2</v>
      </c>
      <c r="C108" s="409" t="s">
        <v>39</v>
      </c>
      <c r="D108" s="415"/>
      <c r="E108" s="51"/>
      <c r="F108" s="82">
        <f>Materiais!$H$36</f>
        <v>1.5299999999999998</v>
      </c>
      <c r="G108" s="51"/>
      <c r="H108" s="82">
        <f>Materiais!$H$36</f>
        <v>1.5299999999999998</v>
      </c>
      <c r="I108" s="51"/>
      <c r="J108" s="82">
        <f>Materiais!$H$36</f>
        <v>1.5299999999999998</v>
      </c>
      <c r="K108" s="51"/>
      <c r="L108" s="82">
        <f>Materiais!$H$36</f>
        <v>1.5299999999999998</v>
      </c>
      <c r="M108" s="51"/>
      <c r="N108" s="82">
        <f>Materiais!$H$36</f>
        <v>1.5299999999999998</v>
      </c>
      <c r="O108" s="42"/>
      <c r="P108" s="51"/>
      <c r="Q108" s="82">
        <f>Materiais!$H$36</f>
        <v>1.5299999999999998</v>
      </c>
      <c r="R108" s="42"/>
      <c r="S108" s="42"/>
      <c r="T108" s="42"/>
    </row>
    <row r="109" spans="1:20" x14ac:dyDescent="0.2">
      <c r="A109" s="42"/>
      <c r="B109" s="71" t="s">
        <v>4</v>
      </c>
      <c r="C109" s="409" t="s">
        <v>220</v>
      </c>
      <c r="D109" s="415"/>
      <c r="E109" s="51"/>
      <c r="F109" s="52">
        <f>Equipamento!$I$7</f>
        <v>1.0256410256410258</v>
      </c>
      <c r="G109" s="51"/>
      <c r="H109" s="52">
        <f>Equipamento!$I$7</f>
        <v>1.0256410256410258</v>
      </c>
      <c r="I109" s="51"/>
      <c r="J109" s="52">
        <f>Equipamento!$I$7</f>
        <v>1.0256410256410258</v>
      </c>
      <c r="K109" s="51"/>
      <c r="L109" s="52">
        <f>Equipamento!$I$7</f>
        <v>1.0256410256410258</v>
      </c>
      <c r="M109" s="51"/>
      <c r="N109" s="52">
        <f>Equipamento!$I$7</f>
        <v>1.0256410256410258</v>
      </c>
      <c r="O109" s="42"/>
      <c r="P109" s="51"/>
      <c r="Q109" s="52">
        <f>Equipamento!$I$7</f>
        <v>1.0256410256410258</v>
      </c>
      <c r="R109" s="42"/>
      <c r="S109" s="42"/>
      <c r="T109" s="42"/>
    </row>
    <row r="110" spans="1:20" ht="13.5" thickBot="1" x14ac:dyDescent="0.25">
      <c r="A110" s="42"/>
      <c r="B110" s="71" t="s">
        <v>5</v>
      </c>
      <c r="C110" s="409" t="s">
        <v>37</v>
      </c>
      <c r="D110" s="415"/>
      <c r="E110" s="34"/>
      <c r="F110" s="98"/>
      <c r="G110" s="34"/>
      <c r="H110" s="54"/>
      <c r="I110" s="51"/>
      <c r="J110" s="52"/>
      <c r="K110" s="51"/>
      <c r="L110" s="52"/>
      <c r="M110" s="51"/>
      <c r="N110" s="52"/>
      <c r="O110" s="42"/>
      <c r="P110" s="51"/>
      <c r="Q110" s="52"/>
      <c r="R110" s="42"/>
      <c r="S110" s="42"/>
      <c r="T110" s="42"/>
    </row>
    <row r="111" spans="1:20" ht="15.75" thickBot="1" x14ac:dyDescent="0.3">
      <c r="A111" s="42"/>
      <c r="B111" s="41"/>
      <c r="C111" s="438" t="s">
        <v>16</v>
      </c>
      <c r="D111" s="439"/>
      <c r="E111" s="440"/>
      <c r="F111" s="5">
        <f>SUM(F107:F110)</f>
        <v>50.888974358974366</v>
      </c>
      <c r="G111" s="41"/>
      <c r="H111" s="5">
        <f>SUM(H107:H110)</f>
        <v>50.888974358974366</v>
      </c>
      <c r="I111" s="41"/>
      <c r="J111" s="5">
        <f>SUM(J107:J110)</f>
        <v>50.888974358974366</v>
      </c>
      <c r="K111" s="41"/>
      <c r="L111" s="5">
        <f>SUM(L107:L110)</f>
        <v>50.888974358974366</v>
      </c>
      <c r="M111" s="41"/>
      <c r="N111" s="5">
        <f>SUM(N107:N110)</f>
        <v>50.888974358974366</v>
      </c>
      <c r="O111" s="42"/>
      <c r="P111" s="41"/>
      <c r="Q111" s="5">
        <f>SUM(Q107:Q110)</f>
        <v>50.888974358974366</v>
      </c>
      <c r="R111" s="42"/>
      <c r="S111" s="42"/>
      <c r="T111" s="42"/>
    </row>
    <row r="112" spans="1:20" ht="15.75" thickBot="1" x14ac:dyDescent="0.3">
      <c r="A112" s="42"/>
      <c r="B112" s="42"/>
      <c r="C112" s="87"/>
      <c r="D112" s="87"/>
      <c r="E112" s="87"/>
      <c r="F112" s="25"/>
      <c r="G112" s="42"/>
      <c r="H112" s="25"/>
      <c r="I112" s="42"/>
      <c r="J112" s="25"/>
      <c r="K112" s="42"/>
      <c r="L112" s="25"/>
      <c r="M112" s="42"/>
      <c r="N112" s="25"/>
      <c r="O112" s="42"/>
      <c r="P112" s="42"/>
      <c r="Q112" s="25"/>
      <c r="R112" s="42"/>
      <c r="S112" s="42"/>
      <c r="T112" s="42"/>
    </row>
    <row r="113" spans="1:20" ht="15.75" thickBot="1" x14ac:dyDescent="0.3">
      <c r="A113" s="42"/>
      <c r="B113" s="369" t="s">
        <v>124</v>
      </c>
      <c r="C113" s="370"/>
      <c r="D113" s="370"/>
      <c r="E113" s="370"/>
      <c r="F113" s="370"/>
      <c r="G113" s="370"/>
      <c r="H113" s="370"/>
      <c r="I113" s="370"/>
      <c r="J113" s="370"/>
      <c r="K113" s="370"/>
      <c r="L113" s="370"/>
      <c r="M113" s="370"/>
      <c r="N113" s="371"/>
      <c r="O113" s="42"/>
      <c r="P113" s="42"/>
      <c r="Q113" s="42"/>
      <c r="R113" s="42"/>
      <c r="S113" s="42"/>
      <c r="T113" s="42"/>
    </row>
    <row r="114" spans="1:20" ht="15.75" thickBot="1" x14ac:dyDescent="0.3">
      <c r="A114" s="42"/>
      <c r="B114" s="65">
        <v>6</v>
      </c>
      <c r="C114" s="456" t="s">
        <v>59</v>
      </c>
      <c r="D114" s="457"/>
      <c r="E114" s="28" t="s">
        <v>13</v>
      </c>
      <c r="F114" s="30" t="s">
        <v>35</v>
      </c>
      <c r="G114" s="65" t="s">
        <v>13</v>
      </c>
      <c r="H114" s="66" t="s">
        <v>35</v>
      </c>
      <c r="I114" s="65" t="s">
        <v>13</v>
      </c>
      <c r="J114" s="66" t="s">
        <v>35</v>
      </c>
      <c r="K114" s="65" t="s">
        <v>13</v>
      </c>
      <c r="L114" s="66" t="s">
        <v>35</v>
      </c>
      <c r="M114" s="65" t="s">
        <v>13</v>
      </c>
      <c r="N114" s="66" t="s">
        <v>35</v>
      </c>
      <c r="O114" s="42"/>
      <c r="P114" s="65" t="s">
        <v>13</v>
      </c>
      <c r="Q114" s="66" t="s">
        <v>35</v>
      </c>
      <c r="R114" s="42"/>
      <c r="S114" s="42"/>
      <c r="T114" s="42"/>
    </row>
    <row r="115" spans="1:20" x14ac:dyDescent="0.2">
      <c r="A115" s="42"/>
      <c r="B115" s="70" t="s">
        <v>1</v>
      </c>
      <c r="C115" s="432" t="s">
        <v>50</v>
      </c>
      <c r="D115" s="445"/>
      <c r="E115" s="189">
        <v>8.3800000000000003E-3</v>
      </c>
      <c r="F115" s="47">
        <f>F130*E115</f>
        <v>58.309916035180386</v>
      </c>
      <c r="G115" s="189">
        <v>8.3800000000000003E-3</v>
      </c>
      <c r="H115" s="47">
        <f>H130*G115</f>
        <v>60.047561118323841</v>
      </c>
      <c r="I115" s="189">
        <v>8.3800000000000003E-3</v>
      </c>
      <c r="J115" s="47">
        <f>J130*I115</f>
        <v>64.990097938346977</v>
      </c>
      <c r="K115" s="189">
        <v>8.3800000000000003E-3</v>
      </c>
      <c r="L115" s="47">
        <f>L130*K115</f>
        <v>68.680380604393946</v>
      </c>
      <c r="M115" s="189">
        <v>8.3800000000000003E-3</v>
      </c>
      <c r="N115" s="47">
        <f>N130*M115</f>
        <v>72.278231671401926</v>
      </c>
      <c r="O115" s="42"/>
      <c r="P115" s="189">
        <v>8.3800000000000003E-3</v>
      </c>
      <c r="Q115" s="47">
        <f>Q130*P115</f>
        <v>56.7535272429282</v>
      </c>
      <c r="R115" s="42"/>
      <c r="S115" s="42"/>
      <c r="T115" s="42"/>
    </row>
    <row r="116" spans="1:20" x14ac:dyDescent="0.2">
      <c r="A116" s="42"/>
      <c r="B116" s="80" t="s">
        <v>2</v>
      </c>
      <c r="C116" s="378" t="s">
        <v>0</v>
      </c>
      <c r="D116" s="446"/>
      <c r="E116" s="67">
        <v>5.0000000000000001E-3</v>
      </c>
      <c r="F116" s="63">
        <f>(F130+F115)*E116</f>
        <v>35.082668932908831</v>
      </c>
      <c r="G116" s="67">
        <v>5.0000000000000001E-3</v>
      </c>
      <c r="H116" s="63">
        <f>(H130+H115)*G116</f>
        <v>36.128138234185798</v>
      </c>
      <c r="I116" s="67">
        <v>5.0000000000000001E-3</v>
      </c>
      <c r="J116" s="63">
        <f>(J130+J115)*I116</f>
        <v>39.10185856746439</v>
      </c>
      <c r="K116" s="67">
        <v>5.0000000000000001E-3</v>
      </c>
      <c r="L116" s="63">
        <f>(L130+L115)*K116</f>
        <v>41.322149280345322</v>
      </c>
      <c r="M116" s="67">
        <v>5.0000000000000001E-3</v>
      </c>
      <c r="N116" s="63">
        <f>(N130+N115)*M116</f>
        <v>43.486827716472717</v>
      </c>
      <c r="O116" s="42"/>
      <c r="P116" s="67">
        <v>5.0000000000000001E-3</v>
      </c>
      <c r="Q116" s="63">
        <f>(Q130+Q115)*P116</f>
        <v>34.146254058009511</v>
      </c>
      <c r="R116" s="42"/>
      <c r="S116" s="42"/>
      <c r="T116" s="42"/>
    </row>
    <row r="117" spans="1:20" x14ac:dyDescent="0.2">
      <c r="A117" s="42"/>
      <c r="B117" s="71" t="s">
        <v>4</v>
      </c>
      <c r="C117" s="409" t="s">
        <v>14</v>
      </c>
      <c r="D117" s="415"/>
      <c r="E117" s="27">
        <f t="shared" ref="E117:N117" si="6">SUM(E118:E120)</f>
        <v>8.6499999999999994E-2</v>
      </c>
      <c r="F117" s="62">
        <f t="shared" si="6"/>
        <v>667.72290999999996</v>
      </c>
      <c r="G117" s="27">
        <f t="shared" si="6"/>
        <v>8.6499999999999994E-2</v>
      </c>
      <c r="H117" s="62">
        <f t="shared" si="6"/>
        <v>687.62237000000005</v>
      </c>
      <c r="I117" s="27">
        <f>SUM(I118:I120)</f>
        <v>8.6499999999999994E-2</v>
      </c>
      <c r="J117" s="62">
        <f>SUM(J118:J120)</f>
        <v>744.21468500000003</v>
      </c>
      <c r="K117" s="27">
        <f t="shared" ref="K117:L117" si="7">SUM(K118:K120)</f>
        <v>8.6499999999999994E-2</v>
      </c>
      <c r="L117" s="62">
        <f t="shared" si="7"/>
        <v>786.47639499999991</v>
      </c>
      <c r="M117" s="27">
        <f t="shared" si="6"/>
        <v>8.6499999999999994E-2</v>
      </c>
      <c r="N117" s="62">
        <f t="shared" si="6"/>
        <v>827.68134499999996</v>
      </c>
      <c r="O117" s="42"/>
      <c r="P117" s="27">
        <f>SUM(P118:P120)</f>
        <v>8.6499999999999994E-2</v>
      </c>
      <c r="Q117" s="62">
        <f>SUM(Q118:Q120)</f>
        <v>649.90544999999997</v>
      </c>
      <c r="R117" s="42"/>
      <c r="S117" s="42"/>
      <c r="T117" s="42"/>
    </row>
    <row r="118" spans="1:20" x14ac:dyDescent="0.2">
      <c r="A118" s="42"/>
      <c r="B118" s="71"/>
      <c r="C118" s="409" t="s">
        <v>120</v>
      </c>
      <c r="D118" s="415"/>
      <c r="E118" s="34">
        <v>6.4999999999999997E-3</v>
      </c>
      <c r="F118" s="62">
        <f>E118*F132</f>
        <v>50.175709999999995</v>
      </c>
      <c r="G118" s="34">
        <v>6.4999999999999997E-3</v>
      </c>
      <c r="H118" s="62">
        <f>G118*H132</f>
        <v>51.670969999999997</v>
      </c>
      <c r="I118" s="34">
        <v>6.4999999999999997E-3</v>
      </c>
      <c r="J118" s="62">
        <f>I118*J132</f>
        <v>55.923985000000002</v>
      </c>
      <c r="K118" s="34">
        <v>6.4999999999999997E-3</v>
      </c>
      <c r="L118" s="62">
        <f>K118*L132</f>
        <v>59.099494999999997</v>
      </c>
      <c r="M118" s="34">
        <v>6.4999999999999997E-3</v>
      </c>
      <c r="N118" s="62">
        <f>M118*N132</f>
        <v>62.195444999999999</v>
      </c>
      <c r="O118" s="42"/>
      <c r="P118" s="34">
        <v>6.4999999999999997E-3</v>
      </c>
      <c r="Q118" s="62">
        <f>P118*Q132</f>
        <v>48.836449999999999</v>
      </c>
      <c r="R118" s="42"/>
      <c r="S118" s="42"/>
      <c r="T118" s="42"/>
    </row>
    <row r="119" spans="1:20" x14ac:dyDescent="0.2">
      <c r="A119" s="42"/>
      <c r="B119" s="71"/>
      <c r="C119" s="409" t="s">
        <v>121</v>
      </c>
      <c r="D119" s="415"/>
      <c r="E119" s="34">
        <v>0.03</v>
      </c>
      <c r="F119" s="62">
        <f>E119*F132</f>
        <v>231.58019999999999</v>
      </c>
      <c r="G119" s="34">
        <v>0.03</v>
      </c>
      <c r="H119" s="62">
        <f>G119*H132</f>
        <v>238.48140000000001</v>
      </c>
      <c r="I119" s="34">
        <v>0.03</v>
      </c>
      <c r="J119" s="62">
        <f>I119*J132</f>
        <v>258.11070000000001</v>
      </c>
      <c r="K119" s="34">
        <v>0.03</v>
      </c>
      <c r="L119" s="62">
        <f>K119*L132</f>
        <v>272.76689999999996</v>
      </c>
      <c r="M119" s="34">
        <v>0.03</v>
      </c>
      <c r="N119" s="62">
        <f>M119*N132</f>
        <v>287.05590000000001</v>
      </c>
      <c r="O119" s="42"/>
      <c r="P119" s="34">
        <v>0.03</v>
      </c>
      <c r="Q119" s="62">
        <f>P119*Q132</f>
        <v>225.399</v>
      </c>
      <c r="R119" s="42"/>
      <c r="S119" s="42"/>
      <c r="T119" s="42"/>
    </row>
    <row r="120" spans="1:20" ht="13.5" thickBot="1" x14ac:dyDescent="0.25">
      <c r="A120" s="42"/>
      <c r="B120" s="71"/>
      <c r="C120" s="409" t="s">
        <v>122</v>
      </c>
      <c r="D120" s="415"/>
      <c r="E120" s="34">
        <v>0.05</v>
      </c>
      <c r="F120" s="62">
        <f>E120*F132</f>
        <v>385.96700000000004</v>
      </c>
      <c r="G120" s="34">
        <v>0.05</v>
      </c>
      <c r="H120" s="62">
        <f>ROUND(G120*H132,2)</f>
        <v>397.47</v>
      </c>
      <c r="I120" s="34">
        <v>0.05</v>
      </c>
      <c r="J120" s="52">
        <f>ROUND(I120*J132,2)</f>
        <v>430.18</v>
      </c>
      <c r="K120" s="34">
        <v>0.05</v>
      </c>
      <c r="L120" s="52">
        <f>ROUND(K120*L132,2)</f>
        <v>454.61</v>
      </c>
      <c r="M120" s="34">
        <v>0.05</v>
      </c>
      <c r="N120" s="52">
        <f>ROUND(M120*N132,2)</f>
        <v>478.43</v>
      </c>
      <c r="O120" s="42"/>
      <c r="P120" s="34">
        <v>0.05</v>
      </c>
      <c r="Q120" s="52">
        <f>ROUND(P120*Q132,2)</f>
        <v>375.67</v>
      </c>
      <c r="R120" s="42"/>
      <c r="S120" s="42"/>
      <c r="T120" s="42"/>
    </row>
    <row r="121" spans="1:20" ht="15.75" thickBot="1" x14ac:dyDescent="0.3">
      <c r="A121" s="42"/>
      <c r="B121" s="41"/>
      <c r="C121" s="438" t="s">
        <v>16</v>
      </c>
      <c r="D121" s="439"/>
      <c r="E121" s="440"/>
      <c r="F121" s="13">
        <f>ROUND(SUM(F115,F116,F117),2)</f>
        <v>761.12</v>
      </c>
      <c r="G121" s="41"/>
      <c r="H121" s="13">
        <f>ROUND(SUM(H115,H116,H117),2)</f>
        <v>783.8</v>
      </c>
      <c r="I121" s="41"/>
      <c r="J121" s="13">
        <f>ROUND(SUM(J115,J116,J117),2)</f>
        <v>848.31</v>
      </c>
      <c r="K121" s="41"/>
      <c r="L121" s="13">
        <f>ROUND(SUM(L115,L116,L117),2)</f>
        <v>896.48</v>
      </c>
      <c r="M121" s="41"/>
      <c r="N121" s="13">
        <f>ROUND(SUM(N115,N116,N117),2)</f>
        <v>943.45</v>
      </c>
      <c r="O121" s="42"/>
      <c r="P121" s="41"/>
      <c r="Q121" s="13">
        <f>ROUND(SUM(Q115,Q116,Q117),2)</f>
        <v>740.81</v>
      </c>
      <c r="R121" s="42"/>
      <c r="S121" s="42"/>
      <c r="T121" s="42"/>
    </row>
    <row r="122" spans="1:20" ht="13.5" thickBot="1" x14ac:dyDescent="0.25">
      <c r="A122" s="42"/>
      <c r="B122" s="458"/>
      <c r="C122" s="458"/>
      <c r="D122" s="458"/>
      <c r="E122" s="458"/>
      <c r="F122" s="458"/>
      <c r="G122" s="42"/>
      <c r="H122" s="42"/>
      <c r="I122" s="42"/>
      <c r="J122" s="42"/>
      <c r="K122" s="42"/>
      <c r="L122" s="42"/>
      <c r="M122" s="42"/>
      <c r="N122" s="42"/>
      <c r="O122" s="42"/>
      <c r="P122" s="42"/>
      <c r="Q122" s="42"/>
      <c r="R122" s="42"/>
      <c r="S122" s="42"/>
      <c r="T122" s="42"/>
    </row>
    <row r="123" spans="1:20" ht="15.75" thickBot="1" x14ac:dyDescent="0.3">
      <c r="A123" s="42"/>
      <c r="B123" s="369" t="s">
        <v>125</v>
      </c>
      <c r="C123" s="370"/>
      <c r="D123" s="370"/>
      <c r="E123" s="370"/>
      <c r="F123" s="370"/>
      <c r="G123" s="370"/>
      <c r="H123" s="370"/>
      <c r="I123" s="370"/>
      <c r="J123" s="370"/>
      <c r="K123" s="370"/>
      <c r="L123" s="370"/>
      <c r="M123" s="370"/>
      <c r="N123" s="371"/>
      <c r="O123" s="42"/>
      <c r="P123" s="42"/>
      <c r="Q123" s="42"/>
      <c r="R123" s="42"/>
      <c r="S123" s="42"/>
      <c r="T123" s="42"/>
    </row>
    <row r="124" spans="1:20" ht="15.75" customHeight="1" thickBot="1" x14ac:dyDescent="0.3">
      <c r="A124" s="42"/>
      <c r="B124" s="100"/>
      <c r="C124" s="456" t="s">
        <v>127</v>
      </c>
      <c r="D124" s="456"/>
      <c r="E124" s="457"/>
      <c r="F124" s="136" t="s">
        <v>35</v>
      </c>
      <c r="G124" s="3"/>
      <c r="H124" s="6" t="s">
        <v>35</v>
      </c>
      <c r="I124" s="3"/>
      <c r="J124" s="4" t="s">
        <v>35</v>
      </c>
      <c r="K124" s="3"/>
      <c r="L124" s="4" t="s">
        <v>35</v>
      </c>
      <c r="M124" s="3"/>
      <c r="N124" s="4" t="s">
        <v>35</v>
      </c>
      <c r="O124" s="42"/>
      <c r="P124" s="3"/>
      <c r="Q124" s="4" t="s">
        <v>35</v>
      </c>
      <c r="R124" s="42"/>
      <c r="S124" s="42"/>
      <c r="T124" s="42"/>
    </row>
    <row r="125" spans="1:20" x14ac:dyDescent="0.2">
      <c r="A125" s="42"/>
      <c r="B125" s="70" t="s">
        <v>1</v>
      </c>
      <c r="C125" s="70" t="s">
        <v>52</v>
      </c>
      <c r="D125" s="402" t="s">
        <v>57</v>
      </c>
      <c r="E125" s="402"/>
      <c r="F125" s="59">
        <f>$F$37</f>
        <v>3792.01</v>
      </c>
      <c r="G125" s="39"/>
      <c r="H125" s="46">
        <f>$H$37</f>
        <v>3905.77</v>
      </c>
      <c r="I125" s="39"/>
      <c r="J125" s="55">
        <f>J37</f>
        <v>4237.76</v>
      </c>
      <c r="K125" s="39"/>
      <c r="L125" s="55">
        <f>L37</f>
        <v>4485.67</v>
      </c>
      <c r="M125" s="39"/>
      <c r="N125" s="55">
        <f>N37</f>
        <v>4709.9399999999996</v>
      </c>
      <c r="O125" s="42"/>
      <c r="P125" s="39"/>
      <c r="Q125" s="55">
        <f>Q37</f>
        <v>4485.67</v>
      </c>
      <c r="R125" s="42"/>
      <c r="S125" s="42"/>
      <c r="T125" s="42"/>
    </row>
    <row r="126" spans="1:20" x14ac:dyDescent="0.2">
      <c r="A126" s="42"/>
      <c r="B126" s="71" t="s">
        <v>2</v>
      </c>
      <c r="C126" s="71" t="s">
        <v>53</v>
      </c>
      <c r="D126" s="379" t="s">
        <v>100</v>
      </c>
      <c r="E126" s="379"/>
      <c r="F126" s="62">
        <f>F71</f>
        <v>2956.1077709789997</v>
      </c>
      <c r="G126" s="39"/>
      <c r="H126" s="62">
        <f>H71</f>
        <v>3049.2893512830001</v>
      </c>
      <c r="I126" s="39"/>
      <c r="J126" s="52">
        <f>J71</f>
        <v>3293.5321999040002</v>
      </c>
      <c r="K126" s="39"/>
      <c r="L126" s="52">
        <f>L71</f>
        <v>3475.8577914930001</v>
      </c>
      <c r="M126" s="39"/>
      <c r="N126" s="52">
        <f>N71</f>
        <v>3671.7595439259999</v>
      </c>
      <c r="O126" s="42"/>
      <c r="P126" s="39"/>
      <c r="Q126" s="52">
        <f>Q71</f>
        <v>2235.93831</v>
      </c>
      <c r="R126" s="42"/>
      <c r="S126" s="42"/>
      <c r="T126" s="42"/>
    </row>
    <row r="127" spans="1:20" x14ac:dyDescent="0.2">
      <c r="A127" s="42"/>
      <c r="B127" s="71" t="s">
        <v>4</v>
      </c>
      <c r="C127" s="71" t="s">
        <v>54</v>
      </c>
      <c r="D127" s="379" t="s">
        <v>45</v>
      </c>
      <c r="E127" s="379"/>
      <c r="F127" s="62">
        <f>F81</f>
        <v>119.98246174194445</v>
      </c>
      <c r="G127" s="39"/>
      <c r="H127" s="62">
        <f>H81</f>
        <v>119.22005981019444</v>
      </c>
      <c r="I127" s="39"/>
      <c r="J127" s="52">
        <f>J81</f>
        <v>129.35375115822222</v>
      </c>
      <c r="K127" s="39"/>
      <c r="L127" s="52">
        <f>L81</f>
        <v>136.9209773460278</v>
      </c>
      <c r="M127" s="39"/>
      <c r="N127" s="52">
        <f>N81</f>
        <v>143.76661413816669</v>
      </c>
      <c r="O127" s="42"/>
      <c r="P127" s="39"/>
      <c r="Q127" s="52">
        <f>Q81</f>
        <v>0</v>
      </c>
      <c r="R127" s="42"/>
      <c r="S127" s="42"/>
      <c r="T127" s="42"/>
    </row>
    <row r="128" spans="1:20" x14ac:dyDescent="0.2">
      <c r="A128" s="42"/>
      <c r="B128" s="71" t="s">
        <v>5</v>
      </c>
      <c r="C128" s="71" t="s">
        <v>55</v>
      </c>
      <c r="D128" s="379" t="s">
        <v>47</v>
      </c>
      <c r="E128" s="379"/>
      <c r="F128" s="62">
        <f>F103</f>
        <v>39.23466346666666</v>
      </c>
      <c r="G128" s="39"/>
      <c r="H128" s="62">
        <f>H103</f>
        <v>40.411700266666664</v>
      </c>
      <c r="I128" s="39"/>
      <c r="J128" s="52">
        <f>J103</f>
        <v>43.846690133333333</v>
      </c>
      <c r="K128" s="39"/>
      <c r="L128" s="52">
        <f>L103</f>
        <v>46.411732266666668</v>
      </c>
      <c r="M128" s="39"/>
      <c r="N128" s="52">
        <f>N103</f>
        <v>48.73217919999999</v>
      </c>
      <c r="O128" s="42"/>
      <c r="P128" s="39"/>
      <c r="Q128" s="52">
        <f>Q103</f>
        <v>0</v>
      </c>
      <c r="R128" s="42"/>
      <c r="S128" s="42"/>
      <c r="T128" s="42"/>
    </row>
    <row r="129" spans="1:20" x14ac:dyDescent="0.2">
      <c r="A129" s="42"/>
      <c r="B129" s="71" t="s">
        <v>6</v>
      </c>
      <c r="C129" s="71" t="s">
        <v>56</v>
      </c>
      <c r="D129" s="379" t="s">
        <v>15</v>
      </c>
      <c r="E129" s="379"/>
      <c r="F129" s="62">
        <f>F111</f>
        <v>50.888974358974366</v>
      </c>
      <c r="G129" s="39"/>
      <c r="H129" s="62">
        <f>H111</f>
        <v>50.888974358974366</v>
      </c>
      <c r="I129" s="39"/>
      <c r="J129" s="52">
        <f>J111</f>
        <v>50.888974358974366</v>
      </c>
      <c r="K129" s="39"/>
      <c r="L129" s="52">
        <f>L111</f>
        <v>50.888974358974366</v>
      </c>
      <c r="M129" s="39"/>
      <c r="N129" s="52">
        <f>N111</f>
        <v>50.888974358974366</v>
      </c>
      <c r="O129" s="42"/>
      <c r="P129" s="39"/>
      <c r="Q129" s="52">
        <f>Q111</f>
        <v>50.888974358974366</v>
      </c>
      <c r="R129" s="42"/>
      <c r="S129" s="42"/>
      <c r="T129" s="42"/>
    </row>
    <row r="130" spans="1:20" x14ac:dyDescent="0.2">
      <c r="A130" s="42"/>
      <c r="B130" s="71"/>
      <c r="C130" s="459" t="s">
        <v>123</v>
      </c>
      <c r="D130" s="459"/>
      <c r="E130" s="459"/>
      <c r="F130" s="62">
        <f>SUM(F125:F129)</f>
        <v>6958.2238705465852</v>
      </c>
      <c r="G130" s="39"/>
      <c r="H130" s="62">
        <f>SUM(H125:H129)</f>
        <v>7165.5800857188351</v>
      </c>
      <c r="I130" s="39"/>
      <c r="J130" s="52">
        <f>SUM(J125:J129)</f>
        <v>7755.381615554531</v>
      </c>
      <c r="K130" s="39"/>
      <c r="L130" s="52">
        <f>SUM(L125:L129)</f>
        <v>8195.7494754646705</v>
      </c>
      <c r="M130" s="39"/>
      <c r="N130" s="52">
        <f>SUM(N125:N129)</f>
        <v>8625.0873116231414</v>
      </c>
      <c r="O130" s="42"/>
      <c r="P130" s="39"/>
      <c r="Q130" s="52">
        <f>SUM(Q125:Q129)</f>
        <v>6772.497284358974</v>
      </c>
      <c r="R130" s="42"/>
      <c r="S130" s="42"/>
      <c r="T130" s="42"/>
    </row>
    <row r="131" spans="1:20" ht="13.5" thickBot="1" x14ac:dyDescent="0.25">
      <c r="A131" s="42"/>
      <c r="B131" s="80" t="s">
        <v>6</v>
      </c>
      <c r="C131" s="99" t="s">
        <v>128</v>
      </c>
      <c r="D131" s="383" t="s">
        <v>59</v>
      </c>
      <c r="E131" s="451"/>
      <c r="F131" s="63">
        <f>$F$121</f>
        <v>761.12</v>
      </c>
      <c r="G131" s="64"/>
      <c r="H131" s="48">
        <f>H121</f>
        <v>783.8</v>
      </c>
      <c r="I131" s="64"/>
      <c r="J131" s="48">
        <f>J121</f>
        <v>848.31</v>
      </c>
      <c r="K131" s="64"/>
      <c r="L131" s="48">
        <f>L121</f>
        <v>896.48</v>
      </c>
      <c r="M131" s="64"/>
      <c r="N131" s="54">
        <f>N121</f>
        <v>943.45</v>
      </c>
      <c r="O131" s="42"/>
      <c r="P131" s="64"/>
      <c r="Q131" s="48">
        <f>Q121</f>
        <v>740.81</v>
      </c>
      <c r="R131" s="42"/>
      <c r="S131" s="42"/>
      <c r="T131" s="42"/>
    </row>
    <row r="132" spans="1:20" ht="15.75" thickBot="1" x14ac:dyDescent="0.25">
      <c r="A132" s="42"/>
      <c r="B132" s="41"/>
      <c r="C132" s="449" t="s">
        <v>51</v>
      </c>
      <c r="D132" s="449"/>
      <c r="E132" s="449"/>
      <c r="F132" s="5">
        <f>ROUNDUP((F130+F115+F116)/(1-E117),2)</f>
        <v>7719.34</v>
      </c>
      <c r="G132" s="41"/>
      <c r="H132" s="13">
        <f>ROUND((H130+H115+H116)/(1-G117),2)</f>
        <v>7949.38</v>
      </c>
      <c r="I132" s="41"/>
      <c r="J132" s="5">
        <f>ROUND((J130+J115+J116)/(1-I117),2)</f>
        <v>8603.69</v>
      </c>
      <c r="K132" s="41"/>
      <c r="L132" s="5">
        <f>ROUND((L130+L115+L116)/(1-K117),2)</f>
        <v>9092.23</v>
      </c>
      <c r="M132" s="41"/>
      <c r="N132" s="5">
        <f>ROUND((N130+N115+N116)/(1-M117),2)</f>
        <v>9568.5300000000007</v>
      </c>
      <c r="O132" s="42"/>
      <c r="P132" s="41"/>
      <c r="Q132" s="5">
        <f>ROUND((Q130+Q115+Q116)/(1-P117),2)</f>
        <v>7513.3</v>
      </c>
      <c r="R132" s="42"/>
      <c r="S132" s="42"/>
      <c r="T132" s="42"/>
    </row>
    <row r="133" spans="1:20" x14ac:dyDescent="0.2">
      <c r="A133" s="42"/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  <c r="O133" s="42"/>
      <c r="P133" s="42"/>
      <c r="Q133" s="42"/>
      <c r="R133" s="42"/>
      <c r="S133" s="42"/>
      <c r="T133" s="42"/>
    </row>
    <row r="134" spans="1:20" x14ac:dyDescent="0.2">
      <c r="A134" s="42"/>
      <c r="B134" s="42"/>
      <c r="C134" s="42"/>
      <c r="D134" s="42"/>
      <c r="E134" s="42"/>
      <c r="F134" s="29"/>
      <c r="G134" s="42"/>
      <c r="H134" s="83"/>
      <c r="I134" s="42"/>
      <c r="J134" s="83">
        <v>8603.69</v>
      </c>
      <c r="K134" s="42"/>
      <c r="L134" s="83"/>
      <c r="M134" s="42"/>
      <c r="N134" s="83"/>
      <c r="O134" s="42"/>
      <c r="P134" s="42"/>
      <c r="Q134" s="83">
        <v>7112.03</v>
      </c>
      <c r="R134" s="42"/>
      <c r="S134" s="42"/>
      <c r="T134" s="42"/>
    </row>
    <row r="135" spans="1:20" x14ac:dyDescent="0.2">
      <c r="A135" s="42"/>
      <c r="B135" s="42"/>
      <c r="C135" s="42"/>
      <c r="D135" s="42"/>
      <c r="E135" s="42"/>
      <c r="G135" s="42"/>
      <c r="H135" s="42"/>
      <c r="I135" s="42"/>
      <c r="J135" s="83"/>
      <c r="K135" s="42"/>
      <c r="L135" s="83"/>
      <c r="M135" s="42"/>
      <c r="N135" s="83"/>
      <c r="O135" s="42"/>
      <c r="P135" s="42"/>
      <c r="Q135" s="83"/>
      <c r="R135" s="42"/>
      <c r="S135" s="42"/>
      <c r="T135" s="42"/>
    </row>
    <row r="136" spans="1:20" x14ac:dyDescent="0.2">
      <c r="A136" s="42"/>
      <c r="B136" s="42"/>
      <c r="C136" s="42"/>
      <c r="D136" s="42"/>
      <c r="E136" s="42"/>
      <c r="F136" s="42"/>
      <c r="G136" s="42"/>
      <c r="H136" s="83"/>
      <c r="I136" s="42"/>
      <c r="J136" s="42"/>
      <c r="K136" s="42"/>
      <c r="L136" s="42"/>
      <c r="M136" s="42"/>
      <c r="N136" s="42"/>
      <c r="O136" s="42"/>
      <c r="P136" s="42"/>
      <c r="Q136" s="83">
        <f>Q134/30</f>
        <v>237.06766666666667</v>
      </c>
      <c r="R136" s="42" t="s">
        <v>280</v>
      </c>
      <c r="S136" s="42"/>
      <c r="T136" s="42"/>
    </row>
    <row r="137" spans="1:20" x14ac:dyDescent="0.2">
      <c r="A137" s="42"/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  <c r="O137" s="42"/>
      <c r="P137" s="42"/>
      <c r="Q137" s="83">
        <f>Q136*2</f>
        <v>474.13533333333334</v>
      </c>
      <c r="R137" s="42" t="s">
        <v>279</v>
      </c>
      <c r="S137" s="42"/>
      <c r="T137" s="42"/>
    </row>
    <row r="138" spans="1:20" x14ac:dyDescent="0.2">
      <c r="A138" s="42"/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  <c r="O138" s="42"/>
      <c r="P138" s="42"/>
      <c r="Q138" s="42"/>
      <c r="R138" s="42"/>
      <c r="S138" s="42"/>
      <c r="T138" s="42"/>
    </row>
    <row r="139" spans="1:20" x14ac:dyDescent="0.2">
      <c r="A139" s="42"/>
      <c r="B139" s="42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  <c r="O139" s="42"/>
      <c r="P139" s="42"/>
      <c r="Q139" s="42"/>
      <c r="R139" s="42"/>
      <c r="S139" s="42"/>
      <c r="T139" s="42"/>
    </row>
    <row r="140" spans="1:20" x14ac:dyDescent="0.2">
      <c r="A140" s="42"/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  <c r="O140" s="42"/>
      <c r="P140" s="42"/>
      <c r="Q140" s="42"/>
      <c r="R140" s="42"/>
      <c r="S140" s="42"/>
      <c r="T140" s="42"/>
    </row>
    <row r="141" spans="1:20" x14ac:dyDescent="0.2">
      <c r="A141" s="42"/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2"/>
      <c r="O141" s="42"/>
      <c r="P141" s="42"/>
      <c r="Q141" s="42"/>
      <c r="R141" s="42"/>
      <c r="S141" s="42"/>
      <c r="T141" s="42"/>
    </row>
    <row r="142" spans="1:20" x14ac:dyDescent="0.2">
      <c r="A142" s="42"/>
      <c r="B142" s="42"/>
      <c r="C142" s="42"/>
      <c r="D142" s="42"/>
      <c r="E142" s="42"/>
      <c r="F142" s="42" t="s">
        <v>60</v>
      </c>
      <c r="G142" s="42"/>
      <c r="H142" s="42"/>
      <c r="I142" s="42"/>
      <c r="J142" s="42"/>
      <c r="K142" s="42"/>
      <c r="L142" s="42"/>
      <c r="M142" s="42"/>
      <c r="N142" s="42"/>
      <c r="O142" s="42"/>
      <c r="P142" s="42"/>
      <c r="Q142" s="42"/>
      <c r="R142" s="42"/>
      <c r="S142" s="42"/>
      <c r="T142" s="42"/>
    </row>
    <row r="143" spans="1:20" x14ac:dyDescent="0.2">
      <c r="A143" s="42"/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  <c r="O143" s="42"/>
      <c r="P143" s="42"/>
      <c r="Q143" s="42"/>
      <c r="R143" s="42"/>
      <c r="S143" s="42"/>
      <c r="T143" s="42"/>
    </row>
    <row r="144" spans="1:20" x14ac:dyDescent="0.2">
      <c r="A144" s="42"/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  <c r="O144" s="42"/>
      <c r="P144" s="42"/>
      <c r="Q144" s="42"/>
      <c r="R144" s="42"/>
      <c r="S144" s="42"/>
      <c r="T144" s="42"/>
    </row>
    <row r="145" spans="1:20" x14ac:dyDescent="0.2">
      <c r="A145" s="42"/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  <c r="O145" s="42"/>
      <c r="P145" s="42"/>
      <c r="Q145" s="42"/>
      <c r="R145" s="42"/>
      <c r="S145" s="42"/>
      <c r="T145" s="42"/>
    </row>
    <row r="146" spans="1:20" x14ac:dyDescent="0.2">
      <c r="A146" s="42"/>
      <c r="B146" s="42"/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2"/>
      <c r="O146" s="42"/>
      <c r="P146" s="42"/>
      <c r="Q146" s="42"/>
      <c r="R146" s="42"/>
      <c r="S146" s="42"/>
      <c r="T146" s="42"/>
    </row>
    <row r="147" spans="1:20" x14ac:dyDescent="0.2">
      <c r="A147" s="42"/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2"/>
      <c r="O147" s="42"/>
      <c r="P147" s="42"/>
      <c r="Q147" s="42"/>
      <c r="R147" s="42"/>
      <c r="S147" s="42"/>
      <c r="T147" s="42"/>
    </row>
    <row r="148" spans="1:20" x14ac:dyDescent="0.2">
      <c r="A148" s="42"/>
      <c r="B148" s="42"/>
      <c r="C148" s="42"/>
      <c r="D148" s="42"/>
      <c r="E148" s="42"/>
      <c r="F148" s="42"/>
      <c r="G148" s="42"/>
      <c r="H148" s="42"/>
      <c r="I148" s="42"/>
      <c r="J148" s="42"/>
      <c r="K148" s="42"/>
      <c r="L148" s="42"/>
      <c r="M148" s="42"/>
      <c r="N148" s="42"/>
      <c r="O148" s="42"/>
      <c r="P148" s="42"/>
      <c r="Q148" s="42"/>
      <c r="R148" s="42"/>
      <c r="S148" s="42"/>
      <c r="T148" s="42"/>
    </row>
    <row r="149" spans="1:20" x14ac:dyDescent="0.2">
      <c r="A149" s="42"/>
      <c r="B149" s="42"/>
      <c r="C149" s="42"/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  <c r="O149" s="42"/>
      <c r="P149" s="42"/>
      <c r="Q149" s="42"/>
      <c r="R149" s="42"/>
      <c r="S149" s="42"/>
      <c r="T149" s="42"/>
    </row>
    <row r="150" spans="1:20" x14ac:dyDescent="0.2">
      <c r="A150" s="42"/>
      <c r="B150" s="42"/>
      <c r="C150" s="42"/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2"/>
      <c r="O150" s="42"/>
      <c r="P150" s="42"/>
      <c r="Q150" s="42"/>
      <c r="R150" s="42"/>
      <c r="S150" s="42"/>
      <c r="T150" s="42"/>
    </row>
    <row r="151" spans="1:20" x14ac:dyDescent="0.2">
      <c r="A151" s="42"/>
      <c r="B151" s="42"/>
      <c r="C151" s="42"/>
      <c r="D151" s="42"/>
      <c r="E151" s="42"/>
      <c r="F151" s="42"/>
      <c r="G151" s="42"/>
      <c r="H151" s="42"/>
      <c r="I151" s="42"/>
      <c r="J151" s="42"/>
      <c r="K151" s="42"/>
      <c r="L151" s="42"/>
      <c r="M151" s="42"/>
      <c r="N151" s="42"/>
      <c r="O151" s="42"/>
      <c r="P151" s="42"/>
      <c r="Q151" s="42"/>
      <c r="R151" s="42"/>
      <c r="S151" s="42"/>
      <c r="T151" s="42"/>
    </row>
    <row r="152" spans="1:20" x14ac:dyDescent="0.2">
      <c r="A152" s="42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42"/>
      <c r="Q152" s="42"/>
      <c r="R152" s="42"/>
      <c r="S152" s="42"/>
      <c r="T152" s="42"/>
    </row>
    <row r="153" spans="1:20" x14ac:dyDescent="0.2">
      <c r="A153" s="42"/>
      <c r="B153" s="42"/>
      <c r="C153" s="42"/>
      <c r="D153" s="42"/>
      <c r="E153" s="42"/>
      <c r="F153" s="42"/>
      <c r="G153" s="42"/>
      <c r="H153" s="42"/>
      <c r="I153" s="42"/>
      <c r="J153" s="42"/>
      <c r="K153" s="42"/>
      <c r="L153" s="42"/>
      <c r="M153" s="42"/>
      <c r="N153" s="42"/>
      <c r="O153" s="42"/>
      <c r="P153" s="42"/>
      <c r="Q153" s="42"/>
      <c r="R153" s="42"/>
      <c r="S153" s="42"/>
      <c r="T153" s="42"/>
    </row>
    <row r="154" spans="1:20" x14ac:dyDescent="0.2">
      <c r="A154" s="42"/>
      <c r="B154" s="42"/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2"/>
      <c r="O154" s="42"/>
      <c r="P154" s="42"/>
      <c r="Q154" s="42"/>
      <c r="R154" s="42"/>
      <c r="S154" s="42"/>
      <c r="T154" s="42"/>
    </row>
    <row r="155" spans="1:20" x14ac:dyDescent="0.2">
      <c r="A155" s="42"/>
      <c r="B155" s="42"/>
      <c r="C155" s="42"/>
      <c r="D155" s="42"/>
      <c r="E155" s="42"/>
      <c r="F155" s="42"/>
      <c r="G155" s="42"/>
      <c r="H155" s="42"/>
      <c r="I155" s="42"/>
      <c r="J155" s="42"/>
      <c r="K155" s="42"/>
      <c r="L155" s="42"/>
      <c r="M155" s="42"/>
      <c r="N155" s="42"/>
      <c r="O155" s="42"/>
      <c r="P155" s="42"/>
      <c r="Q155" s="42"/>
      <c r="R155" s="42"/>
      <c r="S155" s="42"/>
      <c r="T155" s="42"/>
    </row>
    <row r="156" spans="1:20" x14ac:dyDescent="0.2">
      <c r="A156" s="42"/>
      <c r="B156" s="42"/>
      <c r="C156" s="42"/>
      <c r="D156" s="42"/>
      <c r="E156" s="42"/>
      <c r="F156" s="42"/>
      <c r="G156" s="42"/>
      <c r="H156" s="42"/>
      <c r="I156" s="42"/>
      <c r="J156" s="42"/>
      <c r="K156" s="42"/>
      <c r="L156" s="42"/>
      <c r="M156" s="42"/>
      <c r="N156" s="42"/>
      <c r="O156" s="42"/>
      <c r="P156" s="42"/>
      <c r="Q156" s="42"/>
      <c r="R156" s="42"/>
      <c r="S156" s="42"/>
      <c r="T156" s="42"/>
    </row>
    <row r="157" spans="1:20" x14ac:dyDescent="0.2">
      <c r="A157" s="42"/>
      <c r="B157" s="42"/>
      <c r="C157" s="42"/>
      <c r="D157" s="42"/>
      <c r="E157" s="42"/>
      <c r="F157" s="42"/>
      <c r="G157" s="42"/>
      <c r="H157" s="42"/>
      <c r="I157" s="42"/>
      <c r="J157" s="42"/>
      <c r="K157" s="42"/>
      <c r="L157" s="42"/>
      <c r="M157" s="42"/>
      <c r="N157" s="42"/>
      <c r="O157" s="42"/>
      <c r="P157" s="42"/>
      <c r="Q157" s="42"/>
      <c r="R157" s="42"/>
      <c r="S157" s="42"/>
      <c r="T157" s="42"/>
    </row>
    <row r="158" spans="1:20" x14ac:dyDescent="0.2">
      <c r="A158" s="42"/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2"/>
      <c r="O158" s="42"/>
      <c r="P158" s="42"/>
      <c r="Q158" s="42"/>
      <c r="R158" s="42"/>
      <c r="S158" s="42"/>
      <c r="T158" s="42"/>
    </row>
    <row r="159" spans="1:20" x14ac:dyDescent="0.2">
      <c r="A159" s="42"/>
      <c r="B159" s="42"/>
      <c r="C159" s="42"/>
      <c r="D159" s="42"/>
      <c r="E159" s="42"/>
      <c r="F159" s="42"/>
      <c r="G159" s="42"/>
      <c r="H159" s="42"/>
      <c r="I159" s="42"/>
      <c r="J159" s="42"/>
      <c r="K159" s="42"/>
      <c r="L159" s="42"/>
      <c r="M159" s="42"/>
      <c r="N159" s="42"/>
      <c r="O159" s="42"/>
      <c r="P159" s="42"/>
      <c r="Q159" s="42"/>
      <c r="R159" s="42"/>
      <c r="S159" s="42"/>
      <c r="T159" s="42"/>
    </row>
    <row r="160" spans="1:20" x14ac:dyDescent="0.2">
      <c r="A160" s="42"/>
      <c r="B160" s="42"/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  <c r="O160" s="42"/>
      <c r="P160" s="42"/>
      <c r="Q160" s="42"/>
      <c r="R160" s="42"/>
      <c r="S160" s="42"/>
      <c r="T160" s="42"/>
    </row>
    <row r="161" spans="1:20" x14ac:dyDescent="0.2">
      <c r="A161" s="42"/>
      <c r="B161" s="42"/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42"/>
      <c r="N161" s="42"/>
      <c r="O161" s="42"/>
      <c r="P161" s="42"/>
      <c r="Q161" s="42"/>
      <c r="R161" s="42"/>
      <c r="S161" s="42"/>
      <c r="T161" s="42"/>
    </row>
    <row r="162" spans="1:20" x14ac:dyDescent="0.2">
      <c r="A162" s="42"/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  <c r="O162" s="42"/>
      <c r="P162" s="42"/>
      <c r="Q162" s="42"/>
      <c r="R162" s="42"/>
      <c r="S162" s="42"/>
      <c r="T162" s="42"/>
    </row>
    <row r="163" spans="1:20" x14ac:dyDescent="0.2">
      <c r="A163" s="42"/>
      <c r="B163" s="42"/>
      <c r="C163" s="42"/>
      <c r="D163" s="42"/>
      <c r="E163" s="42"/>
      <c r="F163" s="42"/>
      <c r="G163" s="42"/>
      <c r="H163" s="42"/>
      <c r="I163" s="42"/>
      <c r="J163" s="42"/>
      <c r="K163" s="42"/>
      <c r="L163" s="42"/>
      <c r="M163" s="42"/>
      <c r="N163" s="42"/>
      <c r="O163" s="42"/>
      <c r="P163" s="42"/>
      <c r="Q163" s="42"/>
      <c r="R163" s="42"/>
      <c r="S163" s="42"/>
      <c r="T163" s="42"/>
    </row>
    <row r="164" spans="1:20" x14ac:dyDescent="0.2">
      <c r="A164" s="42"/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  <c r="O164" s="42"/>
      <c r="P164" s="42"/>
      <c r="Q164" s="42"/>
      <c r="R164" s="42"/>
      <c r="S164" s="42"/>
      <c r="T164" s="42"/>
    </row>
    <row r="165" spans="1:20" x14ac:dyDescent="0.2">
      <c r="A165" s="42"/>
      <c r="B165" s="42"/>
      <c r="C165" s="42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2"/>
      <c r="O165" s="42"/>
      <c r="P165" s="42"/>
      <c r="Q165" s="42"/>
      <c r="R165" s="42"/>
      <c r="S165" s="42"/>
      <c r="T165" s="42"/>
    </row>
    <row r="166" spans="1:20" x14ac:dyDescent="0.2">
      <c r="A166" s="42"/>
      <c r="B166" s="42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  <c r="O166" s="42"/>
      <c r="P166" s="42"/>
      <c r="Q166" s="42"/>
      <c r="R166" s="42"/>
      <c r="S166" s="42"/>
      <c r="T166" s="42"/>
    </row>
    <row r="167" spans="1:20" x14ac:dyDescent="0.2">
      <c r="A167" s="42"/>
      <c r="B167" s="42"/>
      <c r="C167" s="42"/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2"/>
      <c r="O167" s="42"/>
      <c r="P167" s="42"/>
      <c r="Q167" s="42"/>
      <c r="R167" s="42"/>
      <c r="S167" s="42"/>
      <c r="T167" s="42"/>
    </row>
    <row r="168" spans="1:20" x14ac:dyDescent="0.2">
      <c r="A168" s="42"/>
      <c r="B168" s="42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42"/>
      <c r="Q168" s="42"/>
      <c r="R168" s="42"/>
      <c r="S168" s="42"/>
      <c r="T168" s="42"/>
    </row>
    <row r="169" spans="1:20" x14ac:dyDescent="0.2">
      <c r="A169" s="42"/>
      <c r="B169" s="42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  <c r="O169" s="42"/>
      <c r="P169" s="42"/>
      <c r="Q169" s="42"/>
      <c r="R169" s="42"/>
      <c r="S169" s="42"/>
      <c r="T169" s="42"/>
    </row>
    <row r="170" spans="1:20" x14ac:dyDescent="0.2">
      <c r="A170" s="42"/>
      <c r="B170" s="42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42"/>
      <c r="Q170" s="42"/>
      <c r="R170" s="42"/>
      <c r="S170" s="42"/>
      <c r="T170" s="42"/>
    </row>
    <row r="171" spans="1:20" x14ac:dyDescent="0.2">
      <c r="A171" s="42"/>
      <c r="B171" s="42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  <c r="P171" s="42"/>
      <c r="Q171" s="42"/>
      <c r="R171" s="42"/>
      <c r="S171" s="42"/>
      <c r="T171" s="42"/>
    </row>
    <row r="172" spans="1:20" x14ac:dyDescent="0.2">
      <c r="A172" s="42"/>
      <c r="B172" s="42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42"/>
      <c r="Q172" s="42"/>
      <c r="R172" s="42"/>
      <c r="S172" s="42"/>
      <c r="T172" s="42"/>
    </row>
    <row r="173" spans="1:20" x14ac:dyDescent="0.2">
      <c r="A173" s="42"/>
      <c r="B173" s="42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42"/>
      <c r="Q173" s="42"/>
      <c r="R173" s="42"/>
      <c r="S173" s="42"/>
      <c r="T173" s="42"/>
    </row>
    <row r="174" spans="1:20" x14ac:dyDescent="0.2">
      <c r="A174" s="42"/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42"/>
      <c r="Q174" s="42"/>
      <c r="R174" s="42"/>
      <c r="S174" s="42"/>
      <c r="T174" s="42"/>
    </row>
    <row r="175" spans="1:20" x14ac:dyDescent="0.2">
      <c r="A175" s="42"/>
      <c r="B175" s="42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  <c r="O175" s="42"/>
      <c r="P175" s="42"/>
      <c r="Q175" s="42"/>
      <c r="R175" s="42"/>
      <c r="S175" s="42"/>
      <c r="T175" s="42"/>
    </row>
    <row r="176" spans="1:20" x14ac:dyDescent="0.2">
      <c r="A176" s="42"/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42"/>
      <c r="Q176" s="42"/>
      <c r="R176" s="42"/>
      <c r="S176" s="42"/>
      <c r="T176" s="42"/>
    </row>
    <row r="177" spans="1:20" x14ac:dyDescent="0.2">
      <c r="A177" s="42"/>
      <c r="B177" s="42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42"/>
      <c r="Q177" s="42"/>
      <c r="R177" s="42"/>
      <c r="S177" s="42"/>
      <c r="T177" s="42"/>
    </row>
    <row r="178" spans="1:20" x14ac:dyDescent="0.2">
      <c r="A178" s="42"/>
      <c r="B178" s="42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42"/>
      <c r="Q178" s="42"/>
      <c r="R178" s="42"/>
      <c r="S178" s="42"/>
      <c r="T178" s="42"/>
    </row>
    <row r="179" spans="1:20" x14ac:dyDescent="0.2">
      <c r="A179" s="42"/>
      <c r="B179" s="42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  <c r="O179" s="42"/>
      <c r="P179" s="42"/>
      <c r="Q179" s="42"/>
      <c r="R179" s="42"/>
      <c r="S179" s="42"/>
      <c r="T179" s="42"/>
    </row>
    <row r="180" spans="1:20" x14ac:dyDescent="0.2">
      <c r="A180" s="42"/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42"/>
      <c r="Q180" s="42"/>
      <c r="R180" s="42"/>
      <c r="S180" s="42"/>
      <c r="T180" s="42"/>
    </row>
    <row r="181" spans="1:20" x14ac:dyDescent="0.2">
      <c r="A181" s="42"/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42"/>
      <c r="Q181" s="42"/>
      <c r="R181" s="42"/>
      <c r="S181" s="42"/>
      <c r="T181" s="42"/>
    </row>
    <row r="182" spans="1:20" x14ac:dyDescent="0.2">
      <c r="A182" s="42"/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42"/>
      <c r="Q182" s="42"/>
      <c r="R182" s="42"/>
      <c r="S182" s="42"/>
      <c r="T182" s="42"/>
    </row>
    <row r="183" spans="1:20" x14ac:dyDescent="0.2">
      <c r="A183" s="42"/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42"/>
      <c r="Q183" s="42"/>
      <c r="R183" s="42"/>
      <c r="S183" s="42"/>
      <c r="T183" s="42"/>
    </row>
    <row r="184" spans="1:20" x14ac:dyDescent="0.2">
      <c r="A184" s="42"/>
      <c r="B184" s="42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42"/>
      <c r="Q184" s="42"/>
      <c r="R184" s="42"/>
      <c r="S184" s="42"/>
      <c r="T184" s="42"/>
    </row>
    <row r="185" spans="1:20" x14ac:dyDescent="0.2">
      <c r="A185" s="42"/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42"/>
      <c r="Q185" s="42"/>
      <c r="R185" s="42"/>
      <c r="S185" s="42"/>
      <c r="T185" s="42"/>
    </row>
    <row r="186" spans="1:20" x14ac:dyDescent="0.2">
      <c r="A186" s="42"/>
      <c r="B186" s="42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42"/>
      <c r="Q186" s="42"/>
      <c r="R186" s="42"/>
      <c r="S186" s="42"/>
      <c r="T186" s="42"/>
    </row>
    <row r="187" spans="1:20" x14ac:dyDescent="0.2">
      <c r="A187" s="42"/>
      <c r="B187" s="42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42"/>
      <c r="Q187" s="42"/>
      <c r="R187" s="42"/>
      <c r="S187" s="42"/>
      <c r="T187" s="42"/>
    </row>
    <row r="188" spans="1:20" x14ac:dyDescent="0.2">
      <c r="A188" s="42"/>
      <c r="B188" s="42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42"/>
      <c r="Q188" s="42"/>
      <c r="R188" s="42"/>
      <c r="S188" s="42"/>
      <c r="T188" s="42"/>
    </row>
    <row r="189" spans="1:20" x14ac:dyDescent="0.2">
      <c r="A189" s="42"/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42"/>
      <c r="Q189" s="42"/>
      <c r="R189" s="42"/>
      <c r="S189" s="42"/>
      <c r="T189" s="42"/>
    </row>
    <row r="190" spans="1:20" x14ac:dyDescent="0.2">
      <c r="A190" s="42"/>
      <c r="B190" s="42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42"/>
      <c r="Q190" s="42"/>
      <c r="R190" s="42"/>
      <c r="S190" s="42"/>
      <c r="T190" s="42"/>
    </row>
    <row r="191" spans="1:20" x14ac:dyDescent="0.2">
      <c r="A191" s="42"/>
      <c r="B191" s="42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42"/>
      <c r="Q191" s="42"/>
      <c r="R191" s="42"/>
      <c r="S191" s="42"/>
      <c r="T191" s="42"/>
    </row>
    <row r="192" spans="1:20" x14ac:dyDescent="0.2">
      <c r="A192" s="42"/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42"/>
      <c r="Q192" s="42"/>
      <c r="R192" s="42"/>
      <c r="S192" s="42"/>
      <c r="T192" s="42"/>
    </row>
    <row r="193" spans="1:20" x14ac:dyDescent="0.2">
      <c r="A193" s="42"/>
      <c r="B193" s="42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42"/>
      <c r="Q193" s="42"/>
      <c r="R193" s="42"/>
      <c r="S193" s="42"/>
      <c r="T193" s="42"/>
    </row>
    <row r="194" spans="1:20" x14ac:dyDescent="0.2">
      <c r="A194" s="42"/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42"/>
      <c r="Q194" s="42"/>
      <c r="R194" s="42"/>
      <c r="S194" s="42"/>
      <c r="T194" s="42"/>
    </row>
    <row r="195" spans="1:20" x14ac:dyDescent="0.2">
      <c r="A195" s="42"/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42"/>
      <c r="Q195" s="42"/>
      <c r="R195" s="42"/>
      <c r="S195" s="42"/>
      <c r="T195" s="42"/>
    </row>
    <row r="196" spans="1:20" x14ac:dyDescent="0.2">
      <c r="A196" s="42"/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42"/>
      <c r="Q196" s="42"/>
      <c r="R196" s="42"/>
      <c r="S196" s="42"/>
      <c r="T196" s="42"/>
    </row>
    <row r="197" spans="1:20" x14ac:dyDescent="0.2">
      <c r="A197" s="42"/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42"/>
      <c r="Q197" s="42"/>
      <c r="R197" s="42"/>
      <c r="S197" s="42"/>
      <c r="T197" s="42"/>
    </row>
    <row r="198" spans="1:20" x14ac:dyDescent="0.2">
      <c r="A198" s="42"/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42"/>
      <c r="Q198" s="42"/>
      <c r="R198" s="42"/>
      <c r="S198" s="42"/>
      <c r="T198" s="42"/>
    </row>
    <row r="199" spans="1:20" x14ac:dyDescent="0.2">
      <c r="A199" s="42"/>
      <c r="B199" s="42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42"/>
      <c r="Q199" s="42"/>
      <c r="R199" s="42"/>
      <c r="S199" s="42"/>
      <c r="T199" s="42"/>
    </row>
    <row r="200" spans="1:20" x14ac:dyDescent="0.2">
      <c r="A200" s="42"/>
      <c r="B200" s="42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42"/>
      <c r="Q200" s="42"/>
      <c r="R200" s="42"/>
      <c r="S200" s="42"/>
      <c r="T200" s="42"/>
    </row>
    <row r="201" spans="1:20" x14ac:dyDescent="0.2">
      <c r="A201" s="42"/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42"/>
      <c r="Q201" s="42"/>
      <c r="R201" s="42"/>
      <c r="S201" s="42"/>
      <c r="T201" s="42"/>
    </row>
    <row r="202" spans="1:20" x14ac:dyDescent="0.2">
      <c r="A202" s="42"/>
      <c r="B202" s="42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42"/>
      <c r="Q202" s="42"/>
      <c r="R202" s="42"/>
      <c r="S202" s="42"/>
      <c r="T202" s="42"/>
    </row>
    <row r="203" spans="1:20" x14ac:dyDescent="0.2">
      <c r="A203" s="42"/>
      <c r="B203" s="42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42"/>
      <c r="Q203" s="42"/>
      <c r="R203" s="42"/>
      <c r="S203" s="42"/>
      <c r="T203" s="42"/>
    </row>
    <row r="204" spans="1:20" x14ac:dyDescent="0.2">
      <c r="A204" s="42"/>
      <c r="B204" s="42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42"/>
      <c r="Q204" s="42"/>
      <c r="R204" s="42"/>
      <c r="S204" s="42"/>
      <c r="T204" s="42"/>
    </row>
    <row r="205" spans="1:20" x14ac:dyDescent="0.2">
      <c r="A205" s="42"/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42"/>
      <c r="Q205" s="42"/>
      <c r="R205" s="42"/>
      <c r="S205" s="42"/>
      <c r="T205" s="42"/>
    </row>
    <row r="206" spans="1:20" x14ac:dyDescent="0.2">
      <c r="A206" s="42"/>
      <c r="B206" s="42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42"/>
      <c r="Q206" s="42"/>
      <c r="R206" s="42"/>
      <c r="S206" s="42"/>
      <c r="T206" s="42"/>
    </row>
    <row r="207" spans="1:20" x14ac:dyDescent="0.2">
      <c r="A207" s="42"/>
      <c r="B207" s="42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42"/>
      <c r="Q207" s="42"/>
      <c r="R207" s="42"/>
      <c r="S207" s="42"/>
      <c r="T207" s="42"/>
    </row>
    <row r="208" spans="1:20" x14ac:dyDescent="0.2">
      <c r="A208" s="42"/>
      <c r="B208" s="42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42"/>
      <c r="Q208" s="42"/>
      <c r="R208" s="42"/>
      <c r="S208" s="42"/>
      <c r="T208" s="42"/>
    </row>
    <row r="209" spans="1:20" x14ac:dyDescent="0.2">
      <c r="A209" s="42"/>
      <c r="B209" s="42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42"/>
      <c r="Q209" s="42"/>
      <c r="R209" s="42"/>
      <c r="S209" s="42"/>
      <c r="T209" s="42"/>
    </row>
    <row r="210" spans="1:20" x14ac:dyDescent="0.2">
      <c r="A210" s="42"/>
      <c r="B210" s="42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42"/>
      <c r="Q210" s="42"/>
      <c r="R210" s="42"/>
      <c r="S210" s="42"/>
      <c r="T210" s="42"/>
    </row>
    <row r="211" spans="1:20" x14ac:dyDescent="0.2">
      <c r="A211" s="42"/>
      <c r="B211" s="42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42"/>
      <c r="Q211" s="42"/>
      <c r="R211" s="42"/>
      <c r="S211" s="42"/>
      <c r="T211" s="42"/>
    </row>
    <row r="212" spans="1:20" x14ac:dyDescent="0.2">
      <c r="A212" s="42"/>
      <c r="B212" s="42"/>
      <c r="C212" s="42"/>
      <c r="D212" s="42"/>
      <c r="E212" s="42"/>
      <c r="F212" s="42"/>
      <c r="G212" s="42"/>
      <c r="H212" s="42"/>
      <c r="I212" s="42"/>
      <c r="J212" s="42"/>
      <c r="K212" s="42"/>
      <c r="L212" s="42"/>
      <c r="M212" s="42"/>
      <c r="N212" s="42"/>
      <c r="O212" s="42"/>
      <c r="P212" s="42"/>
      <c r="Q212" s="42"/>
      <c r="R212" s="42"/>
      <c r="S212" s="42"/>
      <c r="T212" s="42"/>
    </row>
    <row r="213" spans="1:20" x14ac:dyDescent="0.2">
      <c r="A213" s="42"/>
      <c r="B213" s="42"/>
      <c r="C213" s="42"/>
      <c r="D213" s="42"/>
      <c r="E213" s="42"/>
      <c r="F213" s="42"/>
      <c r="G213" s="42"/>
      <c r="H213" s="42"/>
      <c r="I213" s="42"/>
      <c r="J213" s="42"/>
      <c r="K213" s="42"/>
      <c r="L213" s="42"/>
      <c r="M213" s="42"/>
      <c r="N213" s="42"/>
      <c r="O213" s="42"/>
      <c r="P213" s="42"/>
      <c r="Q213" s="42"/>
      <c r="R213" s="42"/>
      <c r="S213" s="42"/>
      <c r="T213" s="42"/>
    </row>
    <row r="214" spans="1:20" x14ac:dyDescent="0.2">
      <c r="A214" s="42"/>
      <c r="B214" s="42"/>
      <c r="C214" s="42"/>
      <c r="D214" s="42"/>
      <c r="E214" s="42"/>
      <c r="F214" s="42"/>
      <c r="G214" s="42"/>
      <c r="H214" s="42"/>
      <c r="I214" s="42"/>
      <c r="J214" s="42"/>
      <c r="K214" s="42"/>
      <c r="L214" s="42"/>
      <c r="M214" s="42"/>
      <c r="N214" s="42"/>
      <c r="O214" s="42"/>
      <c r="P214" s="42"/>
      <c r="Q214" s="42"/>
      <c r="R214" s="42"/>
      <c r="S214" s="42"/>
      <c r="T214" s="42"/>
    </row>
    <row r="215" spans="1:20" x14ac:dyDescent="0.2">
      <c r="A215" s="42"/>
      <c r="B215" s="42"/>
      <c r="C215" s="42"/>
      <c r="D215" s="42"/>
      <c r="E215" s="42"/>
      <c r="F215" s="42"/>
      <c r="G215" s="42"/>
      <c r="H215" s="42"/>
      <c r="I215" s="42"/>
      <c r="J215" s="42"/>
      <c r="K215" s="42"/>
      <c r="L215" s="42"/>
      <c r="M215" s="42"/>
      <c r="N215" s="42"/>
      <c r="O215" s="42"/>
      <c r="P215" s="42"/>
      <c r="Q215" s="42"/>
      <c r="R215" s="42"/>
      <c r="S215" s="42"/>
      <c r="T215" s="42"/>
    </row>
    <row r="216" spans="1:20" x14ac:dyDescent="0.2">
      <c r="A216" s="42"/>
      <c r="B216" s="42"/>
      <c r="C216" s="42"/>
      <c r="D216" s="42"/>
      <c r="E216" s="42"/>
      <c r="F216" s="42"/>
      <c r="G216" s="42"/>
      <c r="H216" s="42"/>
      <c r="I216" s="42"/>
      <c r="J216" s="42"/>
      <c r="K216" s="42"/>
      <c r="L216" s="42"/>
      <c r="M216" s="42"/>
      <c r="N216" s="42"/>
      <c r="O216" s="42"/>
      <c r="P216" s="42"/>
      <c r="Q216" s="42"/>
      <c r="R216" s="42"/>
      <c r="S216" s="42"/>
      <c r="T216" s="42"/>
    </row>
    <row r="217" spans="1:20" x14ac:dyDescent="0.2">
      <c r="A217" s="42"/>
      <c r="B217" s="42"/>
      <c r="C217" s="42"/>
      <c r="D217" s="42"/>
      <c r="E217" s="42"/>
      <c r="F217" s="42"/>
      <c r="G217" s="42"/>
      <c r="H217" s="42"/>
      <c r="I217" s="42"/>
      <c r="J217" s="42"/>
      <c r="K217" s="42"/>
      <c r="L217" s="42"/>
      <c r="M217" s="42"/>
      <c r="N217" s="42"/>
      <c r="O217" s="42"/>
      <c r="P217" s="42"/>
      <c r="Q217" s="42"/>
      <c r="R217" s="42"/>
      <c r="S217" s="42"/>
      <c r="T217" s="42"/>
    </row>
    <row r="218" spans="1:20" x14ac:dyDescent="0.2">
      <c r="A218" s="42"/>
      <c r="B218" s="42"/>
      <c r="C218" s="42"/>
      <c r="D218" s="42"/>
      <c r="E218" s="42"/>
      <c r="F218" s="42"/>
      <c r="G218" s="42"/>
      <c r="H218" s="42"/>
      <c r="I218" s="42"/>
      <c r="J218" s="42"/>
      <c r="K218" s="42"/>
      <c r="L218" s="42"/>
      <c r="M218" s="42"/>
      <c r="N218" s="42"/>
      <c r="O218" s="42"/>
      <c r="P218" s="42"/>
      <c r="Q218" s="42"/>
      <c r="R218" s="42"/>
      <c r="S218" s="42"/>
      <c r="T218" s="42"/>
    </row>
    <row r="219" spans="1:20" x14ac:dyDescent="0.2">
      <c r="A219" s="42"/>
      <c r="B219" s="42"/>
      <c r="C219" s="42"/>
      <c r="D219" s="42"/>
      <c r="E219" s="42"/>
      <c r="F219" s="42"/>
      <c r="G219" s="42"/>
      <c r="H219" s="42"/>
      <c r="I219" s="42"/>
      <c r="J219" s="42"/>
      <c r="K219" s="42"/>
      <c r="L219" s="42"/>
      <c r="M219" s="42"/>
      <c r="N219" s="42"/>
      <c r="O219" s="42"/>
      <c r="P219" s="42"/>
      <c r="Q219" s="42"/>
      <c r="R219" s="42"/>
      <c r="S219" s="42"/>
      <c r="T219" s="42"/>
    </row>
    <row r="220" spans="1:20" x14ac:dyDescent="0.2">
      <c r="A220" s="42"/>
      <c r="B220" s="42"/>
      <c r="C220" s="42"/>
      <c r="D220" s="42"/>
      <c r="E220" s="42"/>
      <c r="F220" s="42"/>
      <c r="G220" s="42"/>
      <c r="H220" s="42"/>
      <c r="I220" s="42"/>
      <c r="J220" s="42"/>
      <c r="K220" s="42"/>
      <c r="L220" s="42"/>
      <c r="M220" s="42"/>
      <c r="N220" s="42"/>
      <c r="O220" s="42"/>
      <c r="P220" s="42"/>
      <c r="Q220" s="42"/>
      <c r="R220" s="42"/>
      <c r="S220" s="42"/>
      <c r="T220" s="42"/>
    </row>
    <row r="221" spans="1:20" x14ac:dyDescent="0.2">
      <c r="A221" s="42"/>
      <c r="B221" s="42"/>
      <c r="C221" s="42"/>
      <c r="D221" s="42"/>
      <c r="E221" s="42"/>
      <c r="F221" s="42"/>
      <c r="G221" s="42"/>
      <c r="H221" s="42"/>
      <c r="I221" s="42"/>
      <c r="J221" s="42"/>
      <c r="K221" s="42"/>
      <c r="L221" s="42"/>
      <c r="M221" s="42"/>
      <c r="N221" s="42"/>
      <c r="O221" s="42"/>
      <c r="P221" s="42"/>
      <c r="Q221" s="42"/>
      <c r="R221" s="42"/>
      <c r="S221" s="42"/>
      <c r="T221" s="42"/>
    </row>
    <row r="222" spans="1:20" x14ac:dyDescent="0.2">
      <c r="A222" s="42"/>
      <c r="B222" s="42"/>
      <c r="C222" s="42"/>
      <c r="D222" s="42"/>
      <c r="E222" s="42"/>
      <c r="F222" s="42"/>
      <c r="G222" s="42"/>
      <c r="H222" s="42"/>
      <c r="I222" s="42"/>
      <c r="J222" s="42"/>
      <c r="K222" s="42"/>
      <c r="L222" s="42"/>
      <c r="M222" s="42"/>
      <c r="N222" s="42"/>
      <c r="O222" s="42"/>
      <c r="P222" s="42"/>
      <c r="Q222" s="42"/>
      <c r="R222" s="42"/>
      <c r="S222" s="42"/>
      <c r="T222" s="42"/>
    </row>
    <row r="223" spans="1:20" x14ac:dyDescent="0.2">
      <c r="A223" s="42"/>
      <c r="B223" s="42"/>
      <c r="C223" s="42"/>
      <c r="D223" s="42"/>
      <c r="E223" s="42"/>
      <c r="F223" s="42"/>
      <c r="G223" s="42"/>
      <c r="H223" s="42"/>
      <c r="I223" s="42"/>
      <c r="J223" s="42"/>
      <c r="K223" s="42"/>
      <c r="L223" s="42"/>
      <c r="M223" s="42"/>
      <c r="N223" s="42"/>
      <c r="O223" s="42"/>
      <c r="P223" s="42"/>
      <c r="Q223" s="42"/>
      <c r="R223" s="42"/>
      <c r="S223" s="42"/>
      <c r="T223" s="42"/>
    </row>
    <row r="224" spans="1:20" x14ac:dyDescent="0.2">
      <c r="A224" s="42"/>
      <c r="B224" s="42"/>
      <c r="C224" s="42"/>
      <c r="D224" s="42"/>
      <c r="E224" s="42"/>
      <c r="F224" s="42"/>
      <c r="G224" s="42"/>
      <c r="H224" s="42"/>
      <c r="I224" s="42"/>
      <c r="J224" s="42"/>
      <c r="K224" s="42"/>
      <c r="L224" s="42"/>
      <c r="M224" s="42"/>
      <c r="N224" s="42"/>
      <c r="O224" s="42"/>
      <c r="P224" s="42"/>
      <c r="Q224" s="42"/>
      <c r="R224" s="42"/>
      <c r="S224" s="42"/>
      <c r="T224" s="42"/>
    </row>
    <row r="225" spans="1:20" x14ac:dyDescent="0.2">
      <c r="A225" s="42"/>
      <c r="B225" s="42"/>
      <c r="C225" s="42"/>
      <c r="D225" s="42"/>
      <c r="E225" s="42"/>
      <c r="F225" s="42"/>
      <c r="G225" s="42"/>
      <c r="H225" s="42"/>
      <c r="I225" s="42"/>
      <c r="J225" s="42"/>
      <c r="K225" s="42"/>
      <c r="L225" s="42"/>
      <c r="M225" s="42"/>
      <c r="N225" s="42"/>
      <c r="O225" s="42"/>
      <c r="P225" s="42"/>
      <c r="Q225" s="42"/>
      <c r="R225" s="42"/>
      <c r="S225" s="42"/>
      <c r="T225" s="42"/>
    </row>
    <row r="226" spans="1:20" x14ac:dyDescent="0.2">
      <c r="A226" s="42"/>
      <c r="B226" s="42"/>
      <c r="C226" s="42"/>
      <c r="D226" s="42"/>
      <c r="E226" s="42"/>
      <c r="F226" s="42"/>
      <c r="G226" s="42"/>
      <c r="H226" s="42"/>
      <c r="I226" s="42"/>
      <c r="J226" s="42"/>
      <c r="K226" s="42"/>
      <c r="L226" s="42"/>
      <c r="M226" s="42"/>
      <c r="N226" s="42"/>
      <c r="O226" s="42"/>
      <c r="P226" s="42"/>
      <c r="Q226" s="42"/>
      <c r="R226" s="42"/>
      <c r="S226" s="42"/>
      <c r="T226" s="42"/>
    </row>
    <row r="227" spans="1:20" x14ac:dyDescent="0.2">
      <c r="A227" s="42"/>
      <c r="B227" s="42"/>
      <c r="C227" s="42"/>
      <c r="D227" s="42"/>
      <c r="E227" s="42"/>
      <c r="F227" s="42"/>
      <c r="G227" s="42"/>
      <c r="H227" s="42"/>
      <c r="I227" s="42"/>
      <c r="J227" s="42"/>
      <c r="K227" s="42"/>
      <c r="L227" s="42"/>
      <c r="M227" s="42"/>
      <c r="N227" s="42"/>
      <c r="O227" s="42"/>
      <c r="P227" s="42"/>
      <c r="Q227" s="42"/>
      <c r="R227" s="42"/>
      <c r="S227" s="42"/>
      <c r="T227" s="42"/>
    </row>
    <row r="228" spans="1:20" x14ac:dyDescent="0.2">
      <c r="A228" s="42"/>
      <c r="B228" s="42"/>
      <c r="C228" s="42"/>
      <c r="D228" s="42"/>
      <c r="E228" s="42"/>
      <c r="F228" s="42"/>
      <c r="G228" s="42"/>
      <c r="H228" s="42"/>
      <c r="I228" s="42"/>
      <c r="J228" s="42"/>
      <c r="K228" s="42"/>
      <c r="L228" s="42"/>
      <c r="M228" s="42"/>
      <c r="N228" s="42"/>
      <c r="O228" s="42"/>
      <c r="P228" s="42"/>
      <c r="Q228" s="42"/>
      <c r="R228" s="42"/>
      <c r="S228" s="42"/>
      <c r="T228" s="42"/>
    </row>
    <row r="229" spans="1:20" x14ac:dyDescent="0.2">
      <c r="A229" s="42"/>
      <c r="B229" s="42"/>
      <c r="C229" s="42"/>
      <c r="D229" s="42"/>
      <c r="E229" s="42"/>
      <c r="F229" s="42"/>
      <c r="G229" s="42"/>
      <c r="H229" s="42"/>
      <c r="I229" s="42"/>
      <c r="J229" s="42"/>
      <c r="K229" s="42"/>
      <c r="L229" s="42"/>
      <c r="M229" s="42"/>
      <c r="N229" s="42"/>
      <c r="O229" s="42"/>
      <c r="P229" s="42"/>
      <c r="Q229" s="42"/>
      <c r="R229" s="42"/>
      <c r="S229" s="42"/>
      <c r="T229" s="42"/>
    </row>
    <row r="230" spans="1:20" x14ac:dyDescent="0.2">
      <c r="A230" s="42"/>
      <c r="B230" s="42"/>
      <c r="C230" s="42"/>
      <c r="D230" s="42"/>
      <c r="E230" s="42"/>
      <c r="F230" s="42"/>
      <c r="G230" s="42"/>
      <c r="H230" s="42"/>
      <c r="I230" s="42"/>
      <c r="J230" s="42"/>
      <c r="K230" s="42"/>
      <c r="L230" s="42"/>
      <c r="M230" s="42"/>
      <c r="N230" s="42"/>
      <c r="O230" s="42"/>
      <c r="P230" s="42"/>
      <c r="Q230" s="42"/>
      <c r="R230" s="42"/>
      <c r="S230" s="42"/>
      <c r="T230" s="42"/>
    </row>
    <row r="231" spans="1:20" x14ac:dyDescent="0.2">
      <c r="J231" s="42"/>
      <c r="L231" s="42"/>
      <c r="N231" s="42"/>
      <c r="O231" s="42"/>
      <c r="Q231" s="42"/>
      <c r="R231" s="42"/>
      <c r="S231" s="42"/>
      <c r="T231" s="42"/>
    </row>
    <row r="232" spans="1:20" x14ac:dyDescent="0.2">
      <c r="O232" s="42"/>
      <c r="R232" s="42"/>
      <c r="S232" s="42"/>
      <c r="T232" s="42"/>
    </row>
  </sheetData>
  <mergeCells count="132">
    <mergeCell ref="B2:N2"/>
    <mergeCell ref="B3:N3"/>
    <mergeCell ref="B4:N4"/>
    <mergeCell ref="B5:N5"/>
    <mergeCell ref="B6:N6"/>
    <mergeCell ref="C7:E7"/>
    <mergeCell ref="F7:N7"/>
    <mergeCell ref="C8:E8"/>
    <mergeCell ref="F8:N8"/>
    <mergeCell ref="B10:N10"/>
    <mergeCell ref="C11:E11"/>
    <mergeCell ref="F11:N11"/>
    <mergeCell ref="C13:E13"/>
    <mergeCell ref="F13:N13"/>
    <mergeCell ref="C12:E12"/>
    <mergeCell ref="F12:N12"/>
    <mergeCell ref="C14:E14"/>
    <mergeCell ref="F14:N14"/>
    <mergeCell ref="C15:E15"/>
    <mergeCell ref="F15:N15"/>
    <mergeCell ref="B17:N17"/>
    <mergeCell ref="B18:C18"/>
    <mergeCell ref="E18:G18"/>
    <mergeCell ref="H18:N18"/>
    <mergeCell ref="B19:C19"/>
    <mergeCell ref="E19:G19"/>
    <mergeCell ref="H19:N19"/>
    <mergeCell ref="B20:N20"/>
    <mergeCell ref="B21:N22"/>
    <mergeCell ref="C23:E23"/>
    <mergeCell ref="F23:N23"/>
    <mergeCell ref="C24:E24"/>
    <mergeCell ref="F24:N24"/>
    <mergeCell ref="C25:E25"/>
    <mergeCell ref="F25:N25"/>
    <mergeCell ref="C26:E26"/>
    <mergeCell ref="F26:N26"/>
    <mergeCell ref="B28:N28"/>
    <mergeCell ref="C29:D29"/>
    <mergeCell ref="C30:D30"/>
    <mergeCell ref="C31:D31"/>
    <mergeCell ref="C32:D32"/>
    <mergeCell ref="C33:D33"/>
    <mergeCell ref="C34:D34"/>
    <mergeCell ref="C35:D35"/>
    <mergeCell ref="C36:D36"/>
    <mergeCell ref="C37:E37"/>
    <mergeCell ref="B39:N39"/>
    <mergeCell ref="B40:N40"/>
    <mergeCell ref="C41:E41"/>
    <mergeCell ref="C42:D42"/>
    <mergeCell ref="C43:D43"/>
    <mergeCell ref="B44:D44"/>
    <mergeCell ref="B46:N46"/>
    <mergeCell ref="C47:D47"/>
    <mergeCell ref="C48:D48"/>
    <mergeCell ref="C49:D49"/>
    <mergeCell ref="C50:D50"/>
    <mergeCell ref="C51:D51"/>
    <mergeCell ref="C52:D52"/>
    <mergeCell ref="C53:D53"/>
    <mergeCell ref="C54:D54"/>
    <mergeCell ref="C55:D55"/>
    <mergeCell ref="B56:D56"/>
    <mergeCell ref="B58:N58"/>
    <mergeCell ref="C59:D59"/>
    <mergeCell ref="C60:D60"/>
    <mergeCell ref="C61:D61"/>
    <mergeCell ref="C62:D62"/>
    <mergeCell ref="C63:D63"/>
    <mergeCell ref="B64:E64"/>
    <mergeCell ref="B66:N66"/>
    <mergeCell ref="C67:D67"/>
    <mergeCell ref="C68:D68"/>
    <mergeCell ref="C69:D69"/>
    <mergeCell ref="C70:D70"/>
    <mergeCell ref="B71:D71"/>
    <mergeCell ref="B73:N73"/>
    <mergeCell ref="C74:D74"/>
    <mergeCell ref="C75:D75"/>
    <mergeCell ref="C76:D76"/>
    <mergeCell ref="C77:D77"/>
    <mergeCell ref="C78:D78"/>
    <mergeCell ref="C79:D79"/>
    <mergeCell ref="C80:D80"/>
    <mergeCell ref="B81:D81"/>
    <mergeCell ref="B83:N83"/>
    <mergeCell ref="B84:N84"/>
    <mergeCell ref="C85:D85"/>
    <mergeCell ref="C86:D86"/>
    <mergeCell ref="C87:D87"/>
    <mergeCell ref="C88:D88"/>
    <mergeCell ref="C89:D89"/>
    <mergeCell ref="C90:D90"/>
    <mergeCell ref="C91:D91"/>
    <mergeCell ref="B92:D92"/>
    <mergeCell ref="B94:N94"/>
    <mergeCell ref="C95:D95"/>
    <mergeCell ref="C96:D96"/>
    <mergeCell ref="B97:E97"/>
    <mergeCell ref="B99:N99"/>
    <mergeCell ref="C100:D100"/>
    <mergeCell ref="C101:D101"/>
    <mergeCell ref="C102:D102"/>
    <mergeCell ref="B103:D103"/>
    <mergeCell ref="B105:N105"/>
    <mergeCell ref="C106:D106"/>
    <mergeCell ref="C107:D107"/>
    <mergeCell ref="C108:D108"/>
    <mergeCell ref="C109:D109"/>
    <mergeCell ref="C110:D110"/>
    <mergeCell ref="C111:E111"/>
    <mergeCell ref="B113:N113"/>
    <mergeCell ref="C114:D114"/>
    <mergeCell ref="C115:D115"/>
    <mergeCell ref="D127:E127"/>
    <mergeCell ref="C116:D116"/>
    <mergeCell ref="C117:D117"/>
    <mergeCell ref="C118:D118"/>
    <mergeCell ref="C119:D119"/>
    <mergeCell ref="C120:D120"/>
    <mergeCell ref="C121:E121"/>
    <mergeCell ref="D128:E128"/>
    <mergeCell ref="B122:F122"/>
    <mergeCell ref="D129:E129"/>
    <mergeCell ref="C130:E130"/>
    <mergeCell ref="D131:E131"/>
    <mergeCell ref="C132:E132"/>
    <mergeCell ref="B123:N123"/>
    <mergeCell ref="C124:E124"/>
    <mergeCell ref="D125:E125"/>
    <mergeCell ref="D126:E126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54" fitToHeight="0" orientation="portrait" r:id="rId1"/>
  <rowBreaks count="1" manualBreakCount="1">
    <brk id="71" max="16383" man="1"/>
  </rowBreaks>
  <colBreaks count="1" manualBreakCount="1">
    <brk id="2" max="1048575" man="1"/>
  </colBreaks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04D084-E023-4978-89C9-52CC6E448145}">
  <dimension ref="A1:H23"/>
  <sheetViews>
    <sheetView view="pageBreakPreview" zoomScaleNormal="100" zoomScaleSheetLayoutView="100" workbookViewId="0">
      <selection activeCell="G16" sqref="G16:G32"/>
    </sheetView>
  </sheetViews>
  <sheetFormatPr defaultRowHeight="12.75" x14ac:dyDescent="0.2"/>
  <cols>
    <col min="1" max="1" width="14.28515625" customWidth="1"/>
    <col min="2" max="2" width="33.5703125" customWidth="1"/>
    <col min="3" max="3" width="16" customWidth="1"/>
    <col min="4" max="4" width="16.7109375" bestFit="1" customWidth="1"/>
    <col min="5" max="5" width="19.42578125" customWidth="1"/>
    <col min="6" max="6" width="13.5703125" customWidth="1"/>
    <col min="7" max="7" width="25.7109375" bestFit="1" customWidth="1"/>
    <col min="8" max="8" width="14.42578125" bestFit="1" customWidth="1"/>
  </cols>
  <sheetData>
    <row r="1" spans="1:8" ht="18.75" customHeight="1" x14ac:dyDescent="0.2">
      <c r="A1" s="470" t="s">
        <v>170</v>
      </c>
      <c r="B1" s="470"/>
      <c r="C1" s="470"/>
      <c r="D1" s="470"/>
      <c r="E1" s="470"/>
      <c r="F1" s="470"/>
    </row>
    <row r="2" spans="1:8" s="150" customFormat="1" ht="15" x14ac:dyDescent="0.2">
      <c r="A2" s="147" t="s">
        <v>191</v>
      </c>
      <c r="B2" s="148" t="s">
        <v>171</v>
      </c>
      <c r="C2" s="147" t="s">
        <v>172</v>
      </c>
      <c r="D2" s="148" t="s">
        <v>173</v>
      </c>
      <c r="E2" s="148" t="s">
        <v>114</v>
      </c>
      <c r="F2" s="149" t="s">
        <v>174</v>
      </c>
    </row>
    <row r="3" spans="1:8" s="157" customFormat="1" ht="15" x14ac:dyDescent="0.2">
      <c r="A3" s="151"/>
      <c r="B3" s="152" t="s">
        <v>175</v>
      </c>
      <c r="C3" s="153">
        <v>2</v>
      </c>
      <c r="D3" s="154">
        <v>20</v>
      </c>
      <c r="E3" s="155">
        <f>D3*C3/6</f>
        <v>6.666666666666667</v>
      </c>
      <c r="F3" s="156" t="s">
        <v>176</v>
      </c>
    </row>
    <row r="4" spans="1:8" s="157" customFormat="1" ht="15" x14ac:dyDescent="0.2">
      <c r="A4" s="151"/>
      <c r="B4" s="152" t="s">
        <v>115</v>
      </c>
      <c r="C4" s="153">
        <v>2</v>
      </c>
      <c r="D4" s="154">
        <v>45</v>
      </c>
      <c r="E4" s="155">
        <f>D4*C4/6</f>
        <v>15</v>
      </c>
      <c r="F4" s="156" t="s">
        <v>176</v>
      </c>
      <c r="G4" s="158"/>
    </row>
    <row r="5" spans="1:8" s="157" customFormat="1" ht="15" x14ac:dyDescent="0.2">
      <c r="A5" s="151"/>
      <c r="B5" s="152" t="s">
        <v>177</v>
      </c>
      <c r="C5" s="153">
        <v>2</v>
      </c>
      <c r="D5" s="154">
        <v>2.5</v>
      </c>
      <c r="E5" s="155">
        <f>D5*C5/6</f>
        <v>0.83333333333333337</v>
      </c>
      <c r="F5" s="156" t="s">
        <v>176</v>
      </c>
      <c r="H5" s="159"/>
    </row>
    <row r="6" spans="1:8" s="157" customFormat="1" ht="15" x14ac:dyDescent="0.2">
      <c r="A6" s="160"/>
      <c r="B6" s="152" t="s">
        <v>117</v>
      </c>
      <c r="C6" s="153">
        <v>1</v>
      </c>
      <c r="D6" s="154">
        <v>75</v>
      </c>
      <c r="E6" s="155">
        <f>D6*C6/6</f>
        <v>12.5</v>
      </c>
      <c r="F6" s="156" t="s">
        <v>176</v>
      </c>
      <c r="G6" s="158"/>
    </row>
    <row r="7" spans="1:8" s="157" customFormat="1" ht="15" x14ac:dyDescent="0.2">
      <c r="A7" s="160"/>
      <c r="B7" s="152" t="s">
        <v>178</v>
      </c>
      <c r="C7" s="153">
        <v>1</v>
      </c>
      <c r="D7" s="154">
        <v>20</v>
      </c>
      <c r="E7" s="155">
        <f>D7*C7/12</f>
        <v>1.6666666666666667</v>
      </c>
      <c r="F7" s="156" t="s">
        <v>179</v>
      </c>
      <c r="G7" s="158"/>
    </row>
    <row r="8" spans="1:8" s="157" customFormat="1" ht="15" x14ac:dyDescent="0.2">
      <c r="A8" s="151"/>
      <c r="B8" s="152" t="s">
        <v>180</v>
      </c>
      <c r="C8" s="153">
        <v>1</v>
      </c>
      <c r="D8" s="154">
        <v>70</v>
      </c>
      <c r="E8" s="155">
        <f>D8*C8/12</f>
        <v>5.833333333333333</v>
      </c>
      <c r="F8" s="156" t="s">
        <v>179</v>
      </c>
      <c r="H8" s="159"/>
    </row>
    <row r="9" spans="1:8" s="157" customFormat="1" ht="15" x14ac:dyDescent="0.2">
      <c r="A9" s="151"/>
      <c r="B9" s="152" t="s">
        <v>116</v>
      </c>
      <c r="C9" s="153">
        <v>1</v>
      </c>
      <c r="D9" s="154">
        <v>10</v>
      </c>
      <c r="E9" s="155">
        <f>D9*C9/12</f>
        <v>0.83333333333333337</v>
      </c>
      <c r="F9" s="156" t="s">
        <v>179</v>
      </c>
      <c r="H9" s="159"/>
    </row>
    <row r="10" spans="1:8" s="157" customFormat="1" ht="15" x14ac:dyDescent="0.2">
      <c r="A10" s="151"/>
      <c r="B10" s="152" t="s">
        <v>181</v>
      </c>
      <c r="C10" s="153">
        <v>1</v>
      </c>
      <c r="D10" s="154">
        <v>40</v>
      </c>
      <c r="E10" s="155">
        <f>D10*C10/12</f>
        <v>3.3333333333333335</v>
      </c>
      <c r="F10" s="156" t="s">
        <v>179</v>
      </c>
      <c r="H10" s="159"/>
    </row>
    <row r="11" spans="1:8" s="157" customFormat="1" ht="15" x14ac:dyDescent="0.2">
      <c r="A11" s="151"/>
      <c r="B11" s="152" t="s">
        <v>182</v>
      </c>
      <c r="C11" s="153">
        <v>2</v>
      </c>
      <c r="D11" s="154">
        <v>5</v>
      </c>
      <c r="E11" s="155">
        <f>D11*C11/6</f>
        <v>1.6666666666666667</v>
      </c>
      <c r="F11" s="156" t="s">
        <v>176</v>
      </c>
      <c r="G11" s="158"/>
    </row>
    <row r="12" spans="1:8" ht="15" x14ac:dyDescent="0.2">
      <c r="A12" s="471" t="s">
        <v>183</v>
      </c>
      <c r="B12" s="472"/>
      <c r="C12" s="473"/>
      <c r="D12" s="161"/>
      <c r="E12" s="162">
        <f>SUM(E3:E11)</f>
        <v>48.333333333333336</v>
      </c>
      <c r="F12" s="163"/>
      <c r="G12" s="164"/>
    </row>
    <row r="14" spans="1:8" ht="15" x14ac:dyDescent="0.2">
      <c r="A14" s="470" t="s">
        <v>184</v>
      </c>
      <c r="B14" s="470"/>
      <c r="C14" s="470"/>
      <c r="D14" s="470"/>
      <c r="E14" s="470"/>
      <c r="F14" s="470"/>
    </row>
    <row r="15" spans="1:8" ht="30" x14ac:dyDescent="0.2">
      <c r="A15" s="147" t="s">
        <v>191</v>
      </c>
      <c r="B15" s="148" t="s">
        <v>171</v>
      </c>
      <c r="C15" s="147" t="s">
        <v>192</v>
      </c>
      <c r="D15" s="148" t="s">
        <v>173</v>
      </c>
      <c r="E15" s="148" t="s">
        <v>114</v>
      </c>
      <c r="F15" s="149" t="s">
        <v>174</v>
      </c>
    </row>
    <row r="16" spans="1:8" ht="15" x14ac:dyDescent="0.2">
      <c r="A16" s="474"/>
      <c r="B16" s="152" t="s">
        <v>185</v>
      </c>
      <c r="C16" s="153">
        <v>1</v>
      </c>
      <c r="D16" s="154">
        <v>75</v>
      </c>
      <c r="E16" s="155">
        <f t="shared" ref="E16:E22" si="0">D16*C16/6</f>
        <v>12.5</v>
      </c>
      <c r="F16" s="156" t="s">
        <v>176</v>
      </c>
    </row>
    <row r="17" spans="1:6" ht="15" x14ac:dyDescent="0.2">
      <c r="A17" s="474"/>
      <c r="B17" s="152" t="s">
        <v>186</v>
      </c>
      <c r="C17" s="153">
        <v>2</v>
      </c>
      <c r="D17" s="154">
        <v>20</v>
      </c>
      <c r="E17" s="155">
        <f t="shared" si="0"/>
        <v>6.666666666666667</v>
      </c>
      <c r="F17" s="156" t="s">
        <v>176</v>
      </c>
    </row>
    <row r="18" spans="1:6" ht="15" x14ac:dyDescent="0.2">
      <c r="A18" s="474"/>
      <c r="B18" s="152" t="s">
        <v>115</v>
      </c>
      <c r="C18" s="153">
        <v>2</v>
      </c>
      <c r="D18" s="154">
        <v>40</v>
      </c>
      <c r="E18" s="155">
        <f t="shared" si="0"/>
        <v>13.333333333333334</v>
      </c>
      <c r="F18" s="156" t="s">
        <v>176</v>
      </c>
    </row>
    <row r="19" spans="1:6" ht="15" x14ac:dyDescent="0.2">
      <c r="A19" s="474"/>
      <c r="B19" s="152" t="s">
        <v>187</v>
      </c>
      <c r="C19" s="153">
        <v>2</v>
      </c>
      <c r="D19" s="154">
        <v>2.5</v>
      </c>
      <c r="E19" s="155">
        <f t="shared" si="0"/>
        <v>0.83333333333333337</v>
      </c>
      <c r="F19" s="156" t="s">
        <v>176</v>
      </c>
    </row>
    <row r="20" spans="1:6" ht="15" x14ac:dyDescent="0.2">
      <c r="A20" s="474"/>
      <c r="B20" s="152" t="s">
        <v>188</v>
      </c>
      <c r="C20" s="153">
        <v>1</v>
      </c>
      <c r="D20" s="154">
        <v>10</v>
      </c>
      <c r="E20" s="155">
        <f t="shared" si="0"/>
        <v>1.6666666666666667</v>
      </c>
      <c r="F20" s="156" t="s">
        <v>176</v>
      </c>
    </row>
    <row r="21" spans="1:6" ht="15" x14ac:dyDescent="0.2">
      <c r="A21" s="474"/>
      <c r="B21" s="152" t="s">
        <v>189</v>
      </c>
      <c r="C21" s="153">
        <v>1</v>
      </c>
      <c r="D21" s="154">
        <v>10</v>
      </c>
      <c r="E21" s="155">
        <f t="shared" si="0"/>
        <v>1.6666666666666667</v>
      </c>
      <c r="F21" s="156" t="s">
        <v>176</v>
      </c>
    </row>
    <row r="22" spans="1:6" ht="15" x14ac:dyDescent="0.2">
      <c r="A22" s="160"/>
      <c r="B22" s="152" t="s">
        <v>190</v>
      </c>
      <c r="C22" s="153">
        <v>2</v>
      </c>
      <c r="D22" s="154">
        <v>35</v>
      </c>
      <c r="E22" s="155">
        <f t="shared" si="0"/>
        <v>11.666666666666666</v>
      </c>
      <c r="F22" s="156" t="s">
        <v>176</v>
      </c>
    </row>
    <row r="23" spans="1:6" ht="15" x14ac:dyDescent="0.2">
      <c r="A23" s="471" t="s">
        <v>183</v>
      </c>
      <c r="B23" s="472"/>
      <c r="C23" s="473"/>
      <c r="D23" s="161"/>
      <c r="E23" s="162">
        <f>SUM(E16:E22)</f>
        <v>48.333333333333329</v>
      </c>
      <c r="F23" s="163"/>
    </row>
  </sheetData>
  <mergeCells count="5">
    <mergeCell ref="A1:F1"/>
    <mergeCell ref="A12:C12"/>
    <mergeCell ref="A14:F14"/>
    <mergeCell ref="A16:A21"/>
    <mergeCell ref="A23:C23"/>
  </mergeCells>
  <printOptions horizontalCentered="1" verticalCentered="1"/>
  <pageMargins left="0.19685039370078741" right="0.19685039370078741" top="0.19685039370078741" bottom="0.19685039370078741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12</vt:i4>
      </vt:variant>
      <vt:variant>
        <vt:lpstr>Intervalos Nomeados</vt:lpstr>
      </vt:variant>
      <vt:variant>
        <vt:i4>11</vt:i4>
      </vt:variant>
    </vt:vector>
  </HeadingPairs>
  <TitlesOfParts>
    <vt:vector size="23" baseType="lpstr">
      <vt:lpstr>Totalização</vt:lpstr>
      <vt:lpstr>Diurno Des</vt:lpstr>
      <vt:lpstr>Diurno Arm</vt:lpstr>
      <vt:lpstr>Not Des</vt:lpstr>
      <vt:lpstr>Not Arm</vt:lpstr>
      <vt:lpstr>Diurno 44h</vt:lpstr>
      <vt:lpstr>Encar Diurno</vt:lpstr>
      <vt:lpstr>Encar Not</vt:lpstr>
      <vt:lpstr>Uniforme</vt:lpstr>
      <vt:lpstr>Materiais</vt:lpstr>
      <vt:lpstr>Equipamento</vt:lpstr>
      <vt:lpstr>Retroativo</vt:lpstr>
      <vt:lpstr>'Diurno 44h'!Area_de_impressao</vt:lpstr>
      <vt:lpstr>'Diurno Arm'!Area_de_impressao</vt:lpstr>
      <vt:lpstr>'Diurno Des'!Area_de_impressao</vt:lpstr>
      <vt:lpstr>'Encar Diurno'!Area_de_impressao</vt:lpstr>
      <vt:lpstr>'Encar Not'!Area_de_impressao</vt:lpstr>
      <vt:lpstr>Equipamento!Area_de_impressao</vt:lpstr>
      <vt:lpstr>Materiais!Area_de_impressao</vt:lpstr>
      <vt:lpstr>'Not Arm'!Area_de_impressao</vt:lpstr>
      <vt:lpstr>'Not Des'!Area_de_impressao</vt:lpstr>
      <vt:lpstr>Retroativo!Area_de_impressao</vt:lpstr>
      <vt:lpstr>Totalização!Area_de_impressao</vt:lpstr>
    </vt:vector>
  </TitlesOfParts>
  <Company>Liderança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Armando Maia</dc:creator>
  <cp:lastModifiedBy>Luciene Cruz</cp:lastModifiedBy>
  <cp:lastPrinted>2024-06-28T19:59:12Z</cp:lastPrinted>
  <dcterms:created xsi:type="dcterms:W3CDTF">2004-05-21T16:08:59Z</dcterms:created>
  <dcterms:modified xsi:type="dcterms:W3CDTF">2024-08-12T18:07:20Z</dcterms:modified>
</cp:coreProperties>
</file>